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workbookProtection workbookPassword="CE9C" lockStructure="1"/>
  <bookViews>
    <workbookView xWindow="0" yWindow="240" windowWidth="19320" windowHeight="10290" tabRatio="363" firstSheet="1" activeTab="1"/>
  </bookViews>
  <sheets>
    <sheet name="Calcul_A_emporter" sheetId="3" state="hidden" r:id="rId1"/>
    <sheet name="DEVIS AURI" sheetId="7" r:id="rId2"/>
    <sheet name="FACTURE AURI" sheetId="12" state="hidden" r:id="rId3"/>
    <sheet name="PREPARATION" sheetId="10" state="hidden" r:id="rId4"/>
    <sheet name="Feuil1" sheetId="14" state="hidden" r:id="rId5"/>
    <sheet name="pdj" sheetId="15" state="hidden" r:id="rId6"/>
  </sheets>
  <definedNames>
    <definedName name="charge">Calcul_A_emporter!$N$43:$N$46</definedName>
    <definedName name="Cocktail_Petit_Déjeuner_au_détail">Calcul_A_emporter!$C$2:$C$21</definedName>
    <definedName name="lieux">Calcul_A_emporter!$N$25:$N$40</definedName>
    <definedName name="Livraison_et_Personnel_TVA_20">Calcul_A_emporter!$L$20:$L$26</definedName>
    <definedName name="livraisonPersonnel">Calcul_A_emporter!$L$19</definedName>
    <definedName name="Location_de_salle_AURI_TVA_à_20">Calcul_A_emporter!$K$20:$K$24</definedName>
    <definedName name="Matériel_TVA_20">Calcul_A_emporter!$I$2:$I$5</definedName>
    <definedName name="options">Calcul_A_emporter!$A:$A</definedName>
    <definedName name="Pause_Café__boisson_chaude__jus__eau">Calcul_A_emporter!#REF!</definedName>
    <definedName name="Pizzas_et_Quiches">Calcul_A_emporter!$E$2:$E$13</definedName>
    <definedName name="prestations">OFFSET(Calcul_A_emporter!$A$1,,,,COUNTA(Calcul_A_emporter!$B$1:$AE$1))</definedName>
    <definedName name="prestations_sur_place">OFFSET(#REF!,,,,COUNTA(#REF!))</definedName>
    <definedName name="Règlement">Calcul_A_emporter!$N$48:$N$53</definedName>
    <definedName name="Repas_au_self">Calcul_A_emporter!$B$2:$B$3</definedName>
    <definedName name="Sandwich">Calcul_A_emporter!$D$2:$D$7</definedName>
    <definedName name="tarif">Calcul_A_emporter!$P$1:$T$80</definedName>
    <definedName name="Thermos_de_café_avec_matériel__20_personnes">Calcul_A_emporter!$F$3</definedName>
    <definedName name="Ticket_Repas_1__Entrée__Plat__Dessert">Calcul_A_emporter!$B$3</definedName>
    <definedName name="Type_de_client">Calcul_A_emporter!$N$14:$N$16</definedName>
    <definedName name="Z_242414E6_120C_46C4_A8A3_88F120C813D3_.wvu.PrintArea" localSheetId="0" hidden="1">Calcul_A_emporter!$P$1:$T$80</definedName>
    <definedName name="Z_242414E6_120C_46C4_A8A3_88F120C813D3_.wvu.PrintArea" localSheetId="1" hidden="1">'DEVIS AURI'!$A$1:$J$73</definedName>
    <definedName name="Z_242414E6_120C_46C4_A8A3_88F120C813D3_.wvu.PrintArea" localSheetId="2" hidden="1">'FACTURE AURI'!$A$13:$G$71</definedName>
    <definedName name="_xlnm.Print_Area" localSheetId="1">'DEVIS AURI'!$A$1:$G$72</definedName>
    <definedName name="_xlnm.Print_Area" localSheetId="2">'FACTURE AURI'!$A$1:$G$69</definedName>
    <definedName name="_xlnm.Print_Area" localSheetId="5">pdj!$A$1:$D$58</definedName>
    <definedName name="_xlnm.Print_Area" localSheetId="3">PREPARATION!$A$1:$E$119</definedName>
  </definedNames>
  <calcPr calcId="145621"/>
  <customWorkbookViews>
    <customWorkbookView name="devis" guid="{242414E6-120C-46C4-A8A3-88F120C813D3}" maximized="1" windowWidth="1596" windowHeight="674" tabRatio="836" activeSheetId="7"/>
  </customWorkbookViews>
</workbook>
</file>

<file path=xl/calcChain.xml><?xml version="1.0" encoding="utf-8"?>
<calcChain xmlns="http://schemas.openxmlformats.org/spreadsheetml/2006/main">
  <c r="C41" i="7" l="1"/>
  <c r="E41" i="7" s="1"/>
  <c r="D41" i="7"/>
  <c r="F41" i="7"/>
  <c r="G41" i="7"/>
  <c r="C42" i="7"/>
  <c r="E42" i="7" s="1"/>
  <c r="D42" i="7"/>
  <c r="F42" i="7"/>
  <c r="G42" i="7"/>
  <c r="C43" i="7"/>
  <c r="D43" i="7"/>
  <c r="E43" i="7"/>
  <c r="F43" i="7"/>
  <c r="G43" i="7"/>
  <c r="C44" i="7"/>
  <c r="D44" i="7"/>
  <c r="E44" i="7" s="1"/>
  <c r="F44" i="7"/>
  <c r="G44" i="7"/>
  <c r="T44" i="3"/>
  <c r="C45" i="7" l="1"/>
  <c r="D45" i="7"/>
  <c r="F45" i="7"/>
  <c r="G45" i="7"/>
  <c r="C46" i="7"/>
  <c r="D46" i="7"/>
  <c r="F46" i="7"/>
  <c r="G46" i="7"/>
  <c r="C47" i="7"/>
  <c r="D47" i="7"/>
  <c r="E47" i="7" s="1"/>
  <c r="F47" i="7"/>
  <c r="G47" i="7"/>
  <c r="C48" i="7"/>
  <c r="D48" i="7"/>
  <c r="E48" i="7" s="1"/>
  <c r="F48" i="7"/>
  <c r="G48" i="7"/>
  <c r="C49" i="7"/>
  <c r="D49" i="7"/>
  <c r="F49" i="7"/>
  <c r="G49" i="7"/>
  <c r="C50" i="7"/>
  <c r="D50" i="7"/>
  <c r="F50" i="7"/>
  <c r="G50" i="7"/>
  <c r="C51" i="7"/>
  <c r="D51" i="7"/>
  <c r="E51" i="7" s="1"/>
  <c r="F51" i="7"/>
  <c r="G51" i="7"/>
  <c r="E46" i="7" l="1"/>
  <c r="E50" i="7"/>
  <c r="E49" i="7"/>
  <c r="E45" i="7"/>
  <c r="C19" i="15"/>
  <c r="B34" i="15"/>
  <c r="B35" i="15"/>
  <c r="B36" i="15"/>
  <c r="B33" i="15"/>
  <c r="C18" i="15"/>
  <c r="C17" i="15"/>
  <c r="A24" i="15"/>
  <c r="A23" i="15"/>
  <c r="E8" i="10"/>
  <c r="T79" i="3"/>
  <c r="E117" i="10" l="1"/>
  <c r="T23" i="3"/>
  <c r="E119" i="10"/>
  <c r="E118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89" i="10"/>
  <c r="E88" i="10"/>
  <c r="E87" i="10"/>
  <c r="E86" i="10"/>
  <c r="E85" i="10"/>
  <c r="E84" i="10"/>
  <c r="E83" i="10"/>
  <c r="E82" i="10"/>
  <c r="E8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7" i="10"/>
  <c r="E9" i="10"/>
  <c r="E10" i="10"/>
  <c r="E11" i="10"/>
  <c r="E12" i="10"/>
  <c r="E15" i="10"/>
  <c r="E16" i="10"/>
  <c r="E17" i="10"/>
  <c r="E18" i="10"/>
  <c r="E19" i="10"/>
  <c r="E20" i="10"/>
  <c r="E21" i="10"/>
  <c r="E22" i="10"/>
  <c r="B39" i="12" l="1"/>
  <c r="C39" i="12"/>
  <c r="A40" i="12"/>
  <c r="B40" i="12"/>
  <c r="C40" i="12"/>
  <c r="A41" i="12"/>
  <c r="B41" i="12"/>
  <c r="A42" i="12"/>
  <c r="B42" i="12"/>
  <c r="C42" i="12"/>
  <c r="A43" i="12"/>
  <c r="B43" i="12"/>
  <c r="A44" i="12"/>
  <c r="B44" i="12"/>
  <c r="A45" i="12"/>
  <c r="B45" i="12"/>
  <c r="C45" i="12"/>
  <c r="A46" i="12"/>
  <c r="B46" i="12"/>
  <c r="C46" i="12"/>
  <c r="A47" i="12"/>
  <c r="B47" i="12"/>
  <c r="C47" i="12"/>
  <c r="A48" i="12"/>
  <c r="B48" i="12"/>
  <c r="C48" i="12"/>
  <c r="D48" i="12"/>
  <c r="E48" i="12"/>
  <c r="F48" i="12"/>
  <c r="G48" i="12"/>
  <c r="A49" i="12"/>
  <c r="B49" i="12"/>
  <c r="C49" i="12"/>
  <c r="D49" i="12"/>
  <c r="E49" i="12"/>
  <c r="F49" i="12"/>
  <c r="G49" i="12"/>
  <c r="A50" i="12"/>
  <c r="B50" i="12"/>
  <c r="C50" i="12"/>
  <c r="D50" i="12"/>
  <c r="E50" i="12"/>
  <c r="F50" i="12"/>
  <c r="G50" i="12"/>
  <c r="A51" i="12"/>
  <c r="B51" i="12"/>
  <c r="C51" i="12"/>
  <c r="A52" i="12"/>
  <c r="B52" i="12"/>
  <c r="C52" i="12"/>
  <c r="A53" i="12"/>
  <c r="B53" i="12"/>
  <c r="C53" i="12"/>
  <c r="A54" i="12"/>
  <c r="B54" i="12"/>
  <c r="C54" i="12"/>
  <c r="A55" i="12"/>
  <c r="B55" i="12"/>
  <c r="C55" i="12"/>
  <c r="B38" i="12"/>
  <c r="C38" i="12"/>
  <c r="C5" i="15"/>
  <c r="B42" i="15"/>
  <c r="C45" i="15"/>
  <c r="C43" i="15"/>
  <c r="B3" i="15" l="1"/>
  <c r="D43" i="12" l="1"/>
  <c r="D40" i="12"/>
  <c r="F40" i="12"/>
  <c r="C41" i="12"/>
  <c r="D41" i="12"/>
  <c r="F41" i="12"/>
  <c r="D42" i="12"/>
  <c r="F42" i="12"/>
  <c r="F43" i="12"/>
  <c r="D44" i="12"/>
  <c r="F44" i="12"/>
  <c r="D45" i="12"/>
  <c r="F45" i="12"/>
  <c r="G45" i="12"/>
  <c r="D46" i="12"/>
  <c r="F46" i="12"/>
  <c r="G46" i="12"/>
  <c r="C44" i="12" l="1"/>
  <c r="A25" i="15"/>
  <c r="E14" i="10"/>
  <c r="E13" i="10"/>
  <c r="C43" i="12"/>
  <c r="E45" i="12"/>
  <c r="E44" i="12"/>
  <c r="E46" i="12"/>
  <c r="E42" i="12"/>
  <c r="E43" i="12"/>
  <c r="E41" i="12"/>
  <c r="C24" i="7"/>
  <c r="C23" i="7"/>
  <c r="C22" i="7"/>
  <c r="C21" i="7"/>
  <c r="C20" i="7"/>
  <c r="C19" i="7"/>
  <c r="C18" i="7"/>
  <c r="C17" i="7"/>
  <c r="C16" i="7"/>
  <c r="B14" i="7"/>
  <c r="C15" i="7"/>
  <c r="G47" i="12"/>
  <c r="G52" i="7"/>
  <c r="G51" i="12" s="1"/>
  <c r="G53" i="7"/>
  <c r="G52" i="12" s="1"/>
  <c r="G54" i="7"/>
  <c r="G53" i="12" s="1"/>
  <c r="G55" i="7"/>
  <c r="G54" i="12" s="1"/>
  <c r="G56" i="7"/>
  <c r="G55" i="12" s="1"/>
  <c r="C52" i="7"/>
  <c r="C53" i="7"/>
  <c r="C54" i="7"/>
  <c r="C55" i="7"/>
  <c r="C56" i="7"/>
  <c r="G44" i="12" l="1"/>
  <c r="G43" i="12"/>
  <c r="G42" i="12"/>
  <c r="G41" i="12"/>
  <c r="G40" i="12"/>
  <c r="E40" i="12"/>
  <c r="B10" i="15"/>
  <c r="C6" i="15"/>
  <c r="C4" i="15"/>
  <c r="D50" i="15" l="1"/>
  <c r="D49" i="15"/>
  <c r="D48" i="15"/>
  <c r="B25" i="12"/>
  <c r="B24" i="12"/>
  <c r="B23" i="12"/>
  <c r="B27" i="12"/>
  <c r="F4" i="12"/>
  <c r="F3" i="12"/>
  <c r="F2" i="12"/>
  <c r="T45" i="3"/>
  <c r="C94" i="10"/>
  <c r="C79" i="10"/>
  <c r="C44" i="10"/>
  <c r="C4" i="10"/>
  <c r="A94" i="10"/>
  <c r="B94" i="10"/>
  <c r="A44" i="10"/>
  <c r="A79" i="10"/>
  <c r="A4" i="10"/>
  <c r="B44" i="10"/>
  <c r="B79" i="10"/>
  <c r="B4" i="10"/>
  <c r="T65" i="3"/>
  <c r="B26" i="12" l="1"/>
  <c r="A26" i="12"/>
  <c r="B13" i="12"/>
  <c r="B14" i="12"/>
  <c r="B15" i="12"/>
  <c r="B16" i="12"/>
  <c r="B17" i="12"/>
  <c r="B18" i="12"/>
  <c r="B19" i="12"/>
  <c r="B12" i="12"/>
  <c r="A19" i="12"/>
  <c r="A17" i="12"/>
  <c r="A18" i="12"/>
  <c r="A14" i="12"/>
  <c r="A15" i="12"/>
  <c r="A16" i="12"/>
  <c r="A13" i="12"/>
  <c r="C26" i="7"/>
  <c r="D10" i="12"/>
  <c r="T6" i="3"/>
  <c r="T8" i="3"/>
  <c r="T9" i="3"/>
  <c r="F13" i="12" l="1"/>
  <c r="D13" i="12"/>
  <c r="D12" i="12"/>
  <c r="D11" i="12"/>
  <c r="B31" i="12"/>
  <c r="B32" i="12"/>
  <c r="B30" i="12"/>
  <c r="D23" i="12"/>
  <c r="A32" i="7" l="1"/>
  <c r="B32" i="7" s="1"/>
  <c r="A39" i="7"/>
  <c r="F47" i="12"/>
  <c r="A33" i="7"/>
  <c r="F40" i="7"/>
  <c r="F39" i="12" s="1"/>
  <c r="F52" i="7"/>
  <c r="F51" i="12" s="1"/>
  <c r="F53" i="7"/>
  <c r="F52" i="12" s="1"/>
  <c r="F54" i="7"/>
  <c r="F53" i="12" s="1"/>
  <c r="F55" i="7"/>
  <c r="F54" i="12" s="1"/>
  <c r="F56" i="7"/>
  <c r="F55" i="12" s="1"/>
  <c r="F39" i="7"/>
  <c r="F38" i="12" s="1"/>
  <c r="D40" i="7"/>
  <c r="D52" i="7"/>
  <c r="D53" i="7"/>
  <c r="D54" i="7"/>
  <c r="D55" i="7"/>
  <c r="D56" i="7"/>
  <c r="D39" i="7"/>
  <c r="D38" i="12" s="1"/>
  <c r="V59" i="10"/>
  <c r="V58" i="10"/>
  <c r="V57" i="10"/>
  <c r="V56" i="10"/>
  <c r="V55" i="10"/>
  <c r="V54" i="10"/>
  <c r="V53" i="10"/>
  <c r="V52" i="10"/>
  <c r="V51" i="10"/>
  <c r="V50" i="10"/>
  <c r="V49" i="10"/>
  <c r="V48" i="10"/>
  <c r="V47" i="10"/>
  <c r="S46" i="10"/>
  <c r="V46" i="10"/>
  <c r="S45" i="10"/>
  <c r="V45" i="10" s="1"/>
  <c r="S44" i="10"/>
  <c r="V44" i="10" s="1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V8" i="10"/>
  <c r="V7" i="10"/>
  <c r="V6" i="10"/>
  <c r="V5" i="10"/>
  <c r="V4" i="10"/>
  <c r="V3" i="10"/>
  <c r="V2" i="10"/>
  <c r="S1" i="10"/>
  <c r="V1" i="10" s="1"/>
  <c r="T13" i="3"/>
  <c r="T12" i="3"/>
  <c r="T11" i="3"/>
  <c r="A40" i="7"/>
  <c r="A39" i="12" s="1"/>
  <c r="T73" i="3"/>
  <c r="T74" i="3"/>
  <c r="T75" i="3"/>
  <c r="T57" i="3"/>
  <c r="T56" i="3"/>
  <c r="T55" i="3"/>
  <c r="T54" i="3"/>
  <c r="T53" i="3"/>
  <c r="T52" i="3"/>
  <c r="T51" i="3"/>
  <c r="T50" i="3"/>
  <c r="T49" i="3"/>
  <c r="T48" i="3"/>
  <c r="T47" i="3"/>
  <c r="T46" i="3"/>
  <c r="T19" i="3"/>
  <c r="T20" i="3"/>
  <c r="T21" i="3"/>
  <c r="T22" i="3"/>
  <c r="T24" i="3"/>
  <c r="T25" i="3"/>
  <c r="T26" i="3"/>
  <c r="Q66" i="3"/>
  <c r="T66" i="3" s="1"/>
  <c r="Q64" i="3"/>
  <c r="T64" i="3" s="1"/>
  <c r="Q63" i="3"/>
  <c r="T63" i="3" s="1"/>
  <c r="T80" i="3"/>
  <c r="Q17" i="3"/>
  <c r="T17" i="3" s="1"/>
  <c r="Q16" i="3"/>
  <c r="T16" i="3" s="1"/>
  <c r="T4" i="3"/>
  <c r="T5" i="3"/>
  <c r="T14" i="3"/>
  <c r="T15" i="3"/>
  <c r="T18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58" i="3"/>
  <c r="T59" i="3"/>
  <c r="T60" i="3"/>
  <c r="T61" i="3"/>
  <c r="T62" i="3"/>
  <c r="T67" i="3"/>
  <c r="T68" i="3"/>
  <c r="T69" i="3"/>
  <c r="T70" i="3"/>
  <c r="T71" i="3"/>
  <c r="T72" i="3"/>
  <c r="T76" i="3"/>
  <c r="T77" i="3"/>
  <c r="T78" i="3"/>
  <c r="T2" i="3"/>
  <c r="D54" i="12" l="1"/>
  <c r="E55" i="7"/>
  <c r="E54" i="12" s="1"/>
  <c r="D53" i="12"/>
  <c r="E54" i="7"/>
  <c r="E53" i="12" s="1"/>
  <c r="D47" i="12"/>
  <c r="E47" i="12"/>
  <c r="D52" i="12"/>
  <c r="E53" i="7"/>
  <c r="E52" i="12" s="1"/>
  <c r="D55" i="12"/>
  <c r="E56" i="7"/>
  <c r="E55" i="12" s="1"/>
  <c r="D51" i="12"/>
  <c r="E52" i="7"/>
  <c r="E51" i="12" s="1"/>
  <c r="G40" i="7"/>
  <c r="G39" i="12" s="1"/>
  <c r="D39" i="12"/>
  <c r="B33" i="12"/>
  <c r="C8" i="15"/>
  <c r="A38" i="12"/>
  <c r="E39" i="7"/>
  <c r="E40" i="7"/>
  <c r="E39" i="12" s="1"/>
  <c r="G39" i="7" l="1"/>
  <c r="G38" i="12" s="1"/>
  <c r="E38" i="12"/>
  <c r="B58" i="12"/>
  <c r="C58" i="12" s="1"/>
  <c r="D58" i="12" s="1"/>
  <c r="B59" i="7"/>
  <c r="B57" i="12" l="1"/>
  <c r="C57" i="12" s="1"/>
  <c r="D57" i="12" s="1"/>
  <c r="F57" i="12" s="1"/>
  <c r="B58" i="7"/>
  <c r="C58" i="7" s="1"/>
  <c r="C59" i="7"/>
  <c r="D59" i="7"/>
  <c r="D58" i="7" l="1"/>
  <c r="F58" i="7" s="1"/>
  <c r="A25" i="12"/>
  <c r="A24" i="12"/>
</calcChain>
</file>

<file path=xl/comments1.xml><?xml version="1.0" encoding="utf-8"?>
<comments xmlns="http://schemas.openxmlformats.org/spreadsheetml/2006/main">
  <authors>
    <author>Utilisateur Windows</author>
    <author>dominique.bumat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Veuiller choisir le type de client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Veuiller choisir le mode de réglement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Veuiller séléctionner le lieu de votre manifestation
</t>
        </r>
      </text>
    </comment>
    <comment ref="A39" authorId="1">
      <text>
        <r>
          <rPr>
            <sz val="10"/>
            <color indexed="81"/>
            <rFont val="Tahoma"/>
            <family val="2"/>
          </rPr>
          <t>Cliquer sur la cellule pour voir apparaître le menu déroulant</t>
        </r>
      </text>
    </comment>
    <comment ref="B39" authorId="1">
      <text>
        <r>
          <rPr>
            <sz val="10"/>
            <color indexed="81"/>
            <rFont val="Tahoma"/>
            <family val="2"/>
          </rPr>
          <t xml:space="preserve">Cliquer sur la cellule pour voir apparaître le menu déroulant
</t>
        </r>
      </text>
    </comment>
    <comment ref="C39" authorId="1">
      <text>
        <r>
          <rPr>
            <sz val="10"/>
            <color indexed="81"/>
            <rFont val="Tahoma"/>
            <family val="2"/>
          </rPr>
          <t xml:space="preserve">Renseigner le nombre de prestations commandées
</t>
        </r>
      </text>
    </comment>
  </commentList>
</comments>
</file>

<file path=xl/sharedStrings.xml><?xml version="1.0" encoding="utf-8"?>
<sst xmlns="http://schemas.openxmlformats.org/spreadsheetml/2006/main" count="449" uniqueCount="218">
  <si>
    <t>Quantité</t>
  </si>
  <si>
    <t>Gamme</t>
  </si>
  <si>
    <t>Prix Unitaire HT</t>
  </si>
  <si>
    <t>Serviettes (paquet de 100)</t>
  </si>
  <si>
    <t>Prix Total HT</t>
  </si>
  <si>
    <t>Lieux</t>
  </si>
  <si>
    <t>Coordonnées du service commanditaire</t>
  </si>
  <si>
    <t>Prise en charge</t>
  </si>
  <si>
    <t>Prise en charge…</t>
  </si>
  <si>
    <t>par le service</t>
  </si>
  <si>
    <t>personnelle</t>
  </si>
  <si>
    <t>Prix Total TTC</t>
  </si>
  <si>
    <t>VOTRE COMMANDE</t>
  </si>
  <si>
    <t>par un organisme extérieur</t>
  </si>
  <si>
    <t>Droit de bouchon</t>
  </si>
  <si>
    <t>Chèque</t>
  </si>
  <si>
    <t>Espèces</t>
  </si>
  <si>
    <t>Carte bleue</t>
  </si>
  <si>
    <t>Virement régie</t>
  </si>
  <si>
    <t>Virement chorus</t>
  </si>
  <si>
    <t>Lieu de retrait :</t>
  </si>
  <si>
    <t>Mode de règlement</t>
  </si>
  <si>
    <t>Boissons alcoolisées TVA 20%</t>
  </si>
  <si>
    <t>Matériel TVA 20%</t>
  </si>
  <si>
    <t>Hall Barbet de Jouy</t>
  </si>
  <si>
    <t>Restaurant Club AURI</t>
  </si>
  <si>
    <t>Salle premier niveau Cantine</t>
  </si>
  <si>
    <t>Salle rez de jardin Cantine</t>
  </si>
  <si>
    <t>Hall Gambetta</t>
  </si>
  <si>
    <t>Salle de Ball</t>
  </si>
  <si>
    <t>Salle Epicéa</t>
  </si>
  <si>
    <t>Salle Acacia</t>
  </si>
  <si>
    <t>Salle 050 BDJ</t>
  </si>
  <si>
    <t>Salle 374 BDJ</t>
  </si>
  <si>
    <t>Salle Sully*</t>
  </si>
  <si>
    <t>Personnel (mise en place, service et reprise) avant 17h</t>
  </si>
  <si>
    <t>Personnel (mise en place, service et reprise) après 17h</t>
  </si>
  <si>
    <t>A emporter</t>
  </si>
  <si>
    <t>Petit Déjeuner Complet (boisson chaude, jus, viennoisserie)</t>
  </si>
  <si>
    <t>Pause Café (boisson chaude, jus, eau)</t>
  </si>
  <si>
    <t>Cocktail/Petit Déjeuner au détail</t>
  </si>
  <si>
    <t>Assortiment de Canapés salés (48 piéces)</t>
  </si>
  <si>
    <t>Assortiment de Mignardises (56 piéces)</t>
  </si>
  <si>
    <t>Assortiment de mini viennoisseries</t>
  </si>
  <si>
    <t>Brioche (6 parts)</t>
  </si>
  <si>
    <t>Brownie (12 parts)</t>
  </si>
  <si>
    <t>Cake (12 parts)</t>
  </si>
  <si>
    <t>Cannelés</t>
  </si>
  <si>
    <t>Corbeille de Fruits</t>
  </si>
  <si>
    <t>Pain Surprise (50 sandwichs)</t>
  </si>
  <si>
    <t>Pâtisserie (part individuelle)</t>
  </si>
  <si>
    <t>Salade de fruits</t>
  </si>
  <si>
    <t>Tarte aux fruits de saison (10/12 parts)</t>
  </si>
  <si>
    <t>Tarte aux fruits de saison (6/8 parts)</t>
  </si>
  <si>
    <t>Boissons chaudes</t>
  </si>
  <si>
    <t>Thermos de café avec matériel</t>
  </si>
  <si>
    <t>Thermos de thé avec matériel</t>
  </si>
  <si>
    <t>Boissons Fraiches</t>
  </si>
  <si>
    <t>Jus de pamplemouse 1l</t>
  </si>
  <si>
    <t>ChampagneDevaux Brut</t>
  </si>
  <si>
    <t>Cidre</t>
  </si>
  <si>
    <t>Crémant de Loire</t>
  </si>
  <si>
    <t>Sandwich</t>
  </si>
  <si>
    <t>Sandwich Végétarien</t>
  </si>
  <si>
    <t>Sandwich Jambon Beurre</t>
  </si>
  <si>
    <t>Sandwich Jambon Emmental</t>
  </si>
  <si>
    <t>Sandwich Poulet</t>
  </si>
  <si>
    <t>Sandwich Thon</t>
  </si>
  <si>
    <t>Sandwich Saumon</t>
  </si>
  <si>
    <t>Jus d'orange 1l</t>
  </si>
  <si>
    <t>Pizzas et Quiches</t>
  </si>
  <si>
    <t>Pizza Ronde (1 personne)</t>
  </si>
  <si>
    <t>Pizza Carrée (1 part)</t>
  </si>
  <si>
    <t>Pizza Plaque (6 parts)</t>
  </si>
  <si>
    <t>Forfait Vaisselle Jetable (assiette, gobelet, serviette, couverts)</t>
  </si>
  <si>
    <t>Verre cristal jetable (part 100)</t>
  </si>
  <si>
    <t>HT</t>
  </si>
  <si>
    <t>TAUX TVA</t>
  </si>
  <si>
    <t>TTC</t>
  </si>
  <si>
    <t>Corbeille de fruits (10 personnes)</t>
  </si>
  <si>
    <t>Lait</t>
  </si>
  <si>
    <t>Livraison et Personnel TVA 20 %</t>
  </si>
  <si>
    <t>Prestations commandées</t>
  </si>
  <si>
    <t>Autre Lieu</t>
  </si>
  <si>
    <t xml:space="preserve"> TVA</t>
  </si>
  <si>
    <t xml:space="preserve"> (1) 10%</t>
  </si>
  <si>
    <t>(2) 20%</t>
  </si>
  <si>
    <t>code tva</t>
  </si>
  <si>
    <t>Eau de source 0,5 l (24 pièces)</t>
  </si>
  <si>
    <t>Eau de source 1,5 l (6 pièces)</t>
  </si>
  <si>
    <t>Eau pétillante 1 l (6 pièces)</t>
  </si>
  <si>
    <t>Quiche loraine (8 parts)</t>
  </si>
  <si>
    <t>Quiche tomate chèvre (8 parts)</t>
  </si>
  <si>
    <t>Quiche Poulet (8 parts)</t>
  </si>
  <si>
    <t>Pizza Ronde  3 Fromages (1 part)</t>
  </si>
  <si>
    <t>Pizza Ronde  Poulet (1 part)</t>
  </si>
  <si>
    <t>Pizza Ronde  Végétarienne (1 part)</t>
  </si>
  <si>
    <t>Pizza Carrée 3 Fromages (1 part)</t>
  </si>
  <si>
    <t>Pizza Plaque 3 Fromages (6 parts)</t>
  </si>
  <si>
    <t>Pizza Plaque Poulet (6 parts)</t>
  </si>
  <si>
    <t>Pizza Plaque Végétarienne (6 parts)</t>
  </si>
  <si>
    <t>ChampagneDevaux Brut 75cl</t>
  </si>
  <si>
    <t>Cidre 75cl</t>
  </si>
  <si>
    <t>Crémant de Loire 75cl</t>
  </si>
  <si>
    <t>Vin Rosé (75 cl)</t>
  </si>
  <si>
    <t>Vin Blanc (75 cl)</t>
  </si>
  <si>
    <t>Vin rouge (75 cl)</t>
  </si>
  <si>
    <t>Mini-macarons</t>
  </si>
  <si>
    <t>Pain au chocolat</t>
  </si>
  <si>
    <t>Croissant</t>
  </si>
  <si>
    <t>Pain aux Raisins</t>
  </si>
  <si>
    <t>Chausson aux Pommes</t>
  </si>
  <si>
    <t>Mini pain au chocolat</t>
  </si>
  <si>
    <t>Mini Croissant</t>
  </si>
  <si>
    <t>Mini Pain aux raisins</t>
  </si>
  <si>
    <t>Pizza Carrée Poulet (1 part)</t>
  </si>
  <si>
    <t>Pizza Carrée Végétarienne (1 part)</t>
  </si>
  <si>
    <t>Pizza Carrée  Végétarienne (1 part)</t>
  </si>
  <si>
    <t>BON   DE  FABRICATION PETIT DEJEUNER</t>
  </si>
  <si>
    <t>DATE :</t>
  </si>
  <si>
    <t>HEURE :</t>
  </si>
  <si>
    <t>LIEU :</t>
  </si>
  <si>
    <t>A EMPORTER :</t>
  </si>
  <si>
    <t>Nombre :</t>
  </si>
  <si>
    <t>NATURE DE LA PRESTATION</t>
  </si>
  <si>
    <t>FABRICATION ET SORTIES</t>
  </si>
  <si>
    <t>Boissons  chaudes</t>
  </si>
  <si>
    <t>sucre</t>
  </si>
  <si>
    <t>sachet de thé</t>
  </si>
  <si>
    <t>agitateur</t>
  </si>
  <si>
    <t>serviette</t>
  </si>
  <si>
    <t>gobelet à café</t>
  </si>
  <si>
    <t>mini pain aux raisins</t>
  </si>
  <si>
    <t>gobelet à thé</t>
  </si>
  <si>
    <t>Verre cristal</t>
  </si>
  <si>
    <t>nappe en papier</t>
  </si>
  <si>
    <t>ciseaux + scotch</t>
  </si>
  <si>
    <t>nappe en tissu</t>
  </si>
  <si>
    <t>sac poubelle</t>
  </si>
  <si>
    <t>BOISSON ECONOMAT</t>
  </si>
  <si>
    <t>RETOURS  BOISSONS</t>
  </si>
  <si>
    <t>non</t>
  </si>
  <si>
    <t>Rez de Jardin Cantine</t>
  </si>
  <si>
    <t>Salle Premier Niveau Cantine</t>
  </si>
  <si>
    <t>Location de salle AURI TVA à 20%</t>
  </si>
  <si>
    <t>Restaurant Club (modalités à voir avec le Responsable du Club)</t>
  </si>
  <si>
    <t>PATISSERIE</t>
  </si>
  <si>
    <t>GRIGNOTE</t>
  </si>
  <si>
    <t>CHAUD</t>
  </si>
  <si>
    <t>BANQUET</t>
  </si>
  <si>
    <t>Pause Café</t>
  </si>
  <si>
    <t>date</t>
  </si>
  <si>
    <t>Date de l'événement :</t>
  </si>
  <si>
    <t>Adresse :</t>
  </si>
  <si>
    <t>Ville :</t>
  </si>
  <si>
    <t>N° de téléphone :</t>
  </si>
  <si>
    <t>Heure de l'événement :</t>
  </si>
  <si>
    <t>TOTAL TVA</t>
  </si>
  <si>
    <t>MONTANT HT</t>
  </si>
  <si>
    <r>
      <t>Envoyer ce devis par mail à :</t>
    </r>
    <r>
      <rPr>
        <b/>
        <sz val="18"/>
        <color indexed="49"/>
        <rFont val="Calibri"/>
        <family val="2"/>
      </rPr>
      <t xml:space="preserve"> </t>
    </r>
    <r>
      <rPr>
        <b/>
        <sz val="18"/>
        <color indexed="49"/>
        <rFont val="Calibri"/>
        <family val="2"/>
      </rPr>
      <t>banquet@aurirestaurant.fr</t>
    </r>
  </si>
  <si>
    <t>Lieu de l'événement :</t>
  </si>
  <si>
    <t>Objet de l'événement :</t>
  </si>
  <si>
    <t>BON DE COMMANDE PRESTATIONS ANNEXES -  2017</t>
  </si>
  <si>
    <t>adresse mail :</t>
  </si>
  <si>
    <t>Code Postal :</t>
  </si>
  <si>
    <t>TOTAL HT</t>
  </si>
  <si>
    <t>TOTAL GENERAL  TTC</t>
  </si>
  <si>
    <t>Indiquer le nom de la personne Chargée de la mise
en paiement des factures et/ou du centre chorus</t>
  </si>
  <si>
    <t>A Emporter</t>
  </si>
  <si>
    <t>Lait 1l</t>
  </si>
  <si>
    <t>Thermos de café avec matériel (20 personnes)</t>
  </si>
  <si>
    <t>Prestations</t>
  </si>
  <si>
    <t>Repas au self</t>
  </si>
  <si>
    <t>Ticket Repas 1 (Entrée, Plat, Dessert)</t>
  </si>
  <si>
    <t>Ticket Repas 2 (Entrée, Plat, Dessert, Boisson)</t>
  </si>
  <si>
    <t>Thermos de thé avec matériel (10 personnes)</t>
  </si>
  <si>
    <t>Paris,</t>
  </si>
  <si>
    <t>Type de client</t>
  </si>
  <si>
    <t>Type de client :</t>
  </si>
  <si>
    <t>Mode de règlement :</t>
  </si>
  <si>
    <t>Nom Prénom :</t>
  </si>
  <si>
    <t>Ministére :</t>
  </si>
  <si>
    <t>Organisateur :</t>
  </si>
  <si>
    <t>Choisir un lieu</t>
  </si>
  <si>
    <t>Eau de source 1,5 l (1 bouteille)</t>
  </si>
  <si>
    <t>heure de la prestation</t>
  </si>
  <si>
    <t xml:space="preserve">DEVIS </t>
  </si>
  <si>
    <t>Bol de crudité et sa sauce (le bol)</t>
  </si>
  <si>
    <t>Nombre de convives :</t>
  </si>
  <si>
    <t>DEVIS N°</t>
  </si>
  <si>
    <t>INFORMATIONS SUPPLEMENTAIRES</t>
  </si>
  <si>
    <t>Coordonnées du service 
commanditaire</t>
  </si>
  <si>
    <t>FACTURE N°</t>
  </si>
  <si>
    <t>BON DE COMMANDE</t>
  </si>
  <si>
    <t>N° CHORUS</t>
  </si>
  <si>
    <t>Nom :</t>
  </si>
  <si>
    <t>Merci de nous retourner ce fichier sous format excel par mail. Nous vous reverirons un fichier pdf que vous devrez signer pour confirmer votre commande</t>
  </si>
  <si>
    <t>devis</t>
  </si>
  <si>
    <t>XX</t>
  </si>
  <si>
    <t>Viennoiseries</t>
  </si>
  <si>
    <t>pour le :</t>
  </si>
  <si>
    <t>Heure :</t>
  </si>
  <si>
    <t>mini pain au chocolat</t>
  </si>
  <si>
    <t>Merci</t>
  </si>
  <si>
    <t>mini croissant</t>
  </si>
  <si>
    <t/>
  </si>
  <si>
    <t>Salle Sycomore</t>
  </si>
  <si>
    <t>Salle Trémouille</t>
  </si>
  <si>
    <t>Forfait livraison</t>
  </si>
  <si>
    <t>Assortissement de Mini viennoisserie (la piéce)</t>
  </si>
  <si>
    <t>Mini-macarons (12 piéces)</t>
  </si>
  <si>
    <t>Verre cristal jetable (par 50)</t>
  </si>
  <si>
    <t>Flutes jetable (par 10)</t>
  </si>
  <si>
    <t>Verre cristal jetable (part 50)</t>
  </si>
  <si>
    <t>Mini-macarons(par 12)</t>
  </si>
  <si>
    <t>lait 1l</t>
  </si>
  <si>
    <t>autre</t>
  </si>
  <si>
    <t>Verrine (la piéce)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</si>
</sst>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#,##0.00\ &quot;€&quot;"/>
    <numFmt numFmtId="165" formatCode="d\ mmmm\ yyyy"/>
    <numFmt numFmtId="166" formatCode="[$-F800]dddd\,\ mmmm\ dd\,\ yyyy"/>
    <numFmt numFmtId="167" formatCode="0#&quot; &quot;##&quot; &quot;##&quot; &quot;##&quot; &quot;##"/>
    <numFmt numFmtId="168" formatCode="h:mm;@"/>
    <numFmt numFmtId="169" formatCode="#,##0_ ;\-#,##0\ "/>
    <numFmt numFmtId="170" formatCode="&quot;le&quot;\ dd/mm/yyyy"/>
    <numFmt numFmtId="171" formatCode="[$-F400]h:mm:ss\ AM/PM"/>
  </numFmts>
  <fonts count="6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BC"/>
    </font>
    <font>
      <b/>
      <sz val="10"/>
      <name val="BC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1"/>
      <name val="Tahoma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9"/>
      <name val="Calibri"/>
      <family val="2"/>
    </font>
    <font>
      <b/>
      <sz val="18"/>
      <color indexed="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b/>
      <sz val="18"/>
      <color theme="7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4"/>
      <color theme="7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u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20"/>
      <color theme="7" tint="-0.499984740745262"/>
      <name val="Calibri"/>
      <family val="2"/>
      <scheme val="minor"/>
    </font>
    <font>
      <b/>
      <sz val="28"/>
      <color theme="8" tint="-0.249977111117893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20"/>
      <color indexed="28"/>
      <name val="Calibri"/>
      <family val="2"/>
    </font>
    <font>
      <sz val="20"/>
      <color theme="7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36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mbria"/>
      <family val="1"/>
    </font>
    <font>
      <b/>
      <sz val="14"/>
      <name val="BC"/>
    </font>
    <font>
      <b/>
      <sz val="20"/>
      <color rgb="FFFF0000"/>
      <name val="Arial"/>
      <family val="2"/>
    </font>
    <font>
      <b/>
      <sz val="20"/>
      <color theme="8" tint="-0.249977111117893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  <font>
      <b/>
      <sz val="18"/>
      <name val="Arial"/>
      <family val="2"/>
    </font>
    <font>
      <b/>
      <sz val="2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36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i/>
      <sz val="7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Arial"/>
      <family val="2"/>
    </font>
    <font>
      <sz val="2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44" fontId="60" fillId="0" borderId="0" applyFont="0" applyFill="0" applyBorder="0" applyAlignment="0" applyProtection="0"/>
  </cellStyleXfs>
  <cellXfs count="439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1" fillId="2" borderId="0" xfId="0" applyFont="1" applyFill="1" applyAlignment="1">
      <alignment horizontal="center"/>
    </xf>
    <xf numFmtId="0" fontId="4" fillId="3" borderId="9" xfId="0" applyFont="1" applyFill="1" applyBorder="1"/>
    <xf numFmtId="0" fontId="0" fillId="0" borderId="4" xfId="0" applyBorder="1"/>
    <xf numFmtId="0" fontId="0" fillId="0" borderId="10" xfId="0" applyBorder="1"/>
    <xf numFmtId="0" fontId="3" fillId="0" borderId="0" xfId="0" applyFont="1" applyFill="1" applyBorder="1"/>
    <xf numFmtId="0" fontId="0" fillId="0" borderId="0" xfId="0" applyProtection="1"/>
    <xf numFmtId="0" fontId="3" fillId="0" borderId="4" xfId="0" applyFont="1" applyBorder="1" applyAlignment="1">
      <alignment wrapText="1"/>
    </xf>
    <xf numFmtId="0" fontId="4" fillId="3" borderId="12" xfId="0" applyFont="1" applyFill="1" applyBorder="1"/>
    <xf numFmtId="0" fontId="3" fillId="0" borderId="13" xfId="0" applyFont="1" applyBorder="1"/>
    <xf numFmtId="0" fontId="3" fillId="0" borderId="13" xfId="0" applyFont="1" applyFill="1" applyBorder="1"/>
    <xf numFmtId="0" fontId="11" fillId="0" borderId="0" xfId="0" applyFont="1" applyAlignment="1" applyProtection="1"/>
    <xf numFmtId="0" fontId="0" fillId="0" borderId="0" xfId="0" applyBorder="1"/>
    <xf numFmtId="0" fontId="3" fillId="0" borderId="10" xfId="0" applyFont="1" applyBorder="1"/>
    <xf numFmtId="0" fontId="3" fillId="0" borderId="0" xfId="0" applyFont="1" applyBorder="1" applyAlignment="1">
      <alignment wrapText="1"/>
    </xf>
    <xf numFmtId="0" fontId="7" fillId="0" borderId="0" xfId="0" applyFont="1"/>
    <xf numFmtId="0" fontId="7" fillId="0" borderId="10" xfId="0" applyFont="1" applyBorder="1"/>
    <xf numFmtId="0" fontId="0" fillId="0" borderId="13" xfId="0" applyBorder="1"/>
    <xf numFmtId="0" fontId="3" fillId="0" borderId="16" xfId="0" applyFont="1" applyBorder="1"/>
    <xf numFmtId="0" fontId="3" fillId="0" borderId="15" xfId="0" applyFont="1" applyBorder="1"/>
    <xf numFmtId="0" fontId="7" fillId="0" borderId="4" xfId="0" applyFont="1" applyBorder="1"/>
    <xf numFmtId="9" fontId="0" fillId="0" borderId="0" xfId="0" applyNumberFormat="1"/>
    <xf numFmtId="44" fontId="0" fillId="0" borderId="0" xfId="0" applyNumberFormat="1"/>
    <xf numFmtId="44" fontId="3" fillId="0" borderId="0" xfId="0" applyNumberFormat="1" applyFont="1" applyFill="1" applyBorder="1"/>
    <xf numFmtId="0" fontId="3" fillId="0" borderId="15" xfId="0" applyFont="1" applyFill="1" applyBorder="1"/>
    <xf numFmtId="0" fontId="0" fillId="0" borderId="0" xfId="0" applyAlignment="1" applyProtection="1"/>
    <xf numFmtId="0" fontId="0" fillId="0" borderId="0" xfId="0" applyAlignment="1"/>
    <xf numFmtId="169" fontId="0" fillId="0" borderId="0" xfId="0" applyNumberFormat="1"/>
    <xf numFmtId="0" fontId="3" fillId="0" borderId="4" xfId="0" applyFont="1" applyBorder="1" applyAlignment="1">
      <alignment horizontal="left"/>
    </xf>
    <xf numFmtId="0" fontId="2" fillId="4" borderId="17" xfId="2" applyFont="1" applyFill="1" applyBorder="1" applyAlignment="1">
      <alignment horizontal="left" vertical="center" indent="1"/>
    </xf>
    <xf numFmtId="0" fontId="6" fillId="4" borderId="18" xfId="2" applyFont="1" applyFill="1" applyBorder="1" applyAlignment="1">
      <alignment horizontal="center" vertical="center"/>
    </xf>
    <xf numFmtId="0" fontId="6" fillId="4" borderId="19" xfId="2" applyFont="1" applyFill="1" applyBorder="1" applyAlignment="1">
      <alignment horizontal="center" vertical="center"/>
    </xf>
    <xf numFmtId="0" fontId="11" fillId="4" borderId="0" xfId="2" applyFont="1" applyFill="1" applyBorder="1"/>
    <xf numFmtId="0" fontId="6" fillId="4" borderId="4" xfId="2" applyFont="1" applyFill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7" fillId="0" borderId="25" xfId="2" applyFont="1" applyBorder="1" applyAlignment="1"/>
    <xf numFmtId="0" fontId="13" fillId="0" borderId="20" xfId="2" applyFont="1" applyBorder="1" applyAlignment="1"/>
    <xf numFmtId="0" fontId="12" fillId="0" borderId="27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6" fillId="0" borderId="32" xfId="2" applyFont="1" applyBorder="1" applyAlignment="1"/>
    <xf numFmtId="0" fontId="14" fillId="0" borderId="30" xfId="2" applyFont="1" applyBorder="1" applyAlignment="1">
      <alignment horizontal="center" vertical="center"/>
    </xf>
    <xf numFmtId="0" fontId="7" fillId="0" borderId="27" xfId="2" applyFont="1" applyBorder="1" applyAlignment="1"/>
    <xf numFmtId="9" fontId="3" fillId="0" borderId="4" xfId="0" applyNumberFormat="1" applyFont="1" applyBorder="1"/>
    <xf numFmtId="0" fontId="0" fillId="0" borderId="1" xfId="0" applyBorder="1"/>
    <xf numFmtId="44" fontId="7" fillId="0" borderId="2" xfId="0" applyNumberFormat="1" applyFont="1" applyBorder="1"/>
    <xf numFmtId="0" fontId="3" fillId="0" borderId="2" xfId="0" applyFont="1" applyFill="1" applyBorder="1"/>
    <xf numFmtId="44" fontId="3" fillId="0" borderId="34" xfId="0" applyNumberFormat="1" applyFont="1" applyFill="1" applyBorder="1"/>
    <xf numFmtId="44" fontId="0" fillId="0" borderId="4" xfId="0" applyNumberFormat="1" applyBorder="1"/>
    <xf numFmtId="169" fontId="0" fillId="0" borderId="4" xfId="0" applyNumberFormat="1" applyBorder="1"/>
    <xf numFmtId="9" fontId="3" fillId="0" borderId="4" xfId="0" applyNumberFormat="1" applyFont="1" applyFill="1" applyBorder="1"/>
    <xf numFmtId="44" fontId="3" fillId="0" borderId="8" xfId="0" applyNumberFormat="1" applyFont="1" applyFill="1" applyBorder="1"/>
    <xf numFmtId="9" fontId="0" fillId="0" borderId="4" xfId="0" applyNumberFormat="1" applyBorder="1"/>
    <xf numFmtId="0" fontId="3" fillId="0" borderId="8" xfId="0" applyFont="1" applyBorder="1"/>
    <xf numFmtId="0" fontId="0" fillId="0" borderId="3" xfId="0" applyBorder="1"/>
    <xf numFmtId="44" fontId="0" fillId="0" borderId="4" xfId="0" applyNumberFormat="1" applyFill="1" applyBorder="1"/>
    <xf numFmtId="169" fontId="0" fillId="0" borderId="4" xfId="0" applyNumberFormat="1" applyFill="1" applyBorder="1"/>
    <xf numFmtId="0" fontId="3" fillId="0" borderId="3" xfId="0" applyFont="1" applyFill="1" applyBorder="1"/>
    <xf numFmtId="0" fontId="3" fillId="0" borderId="3" xfId="0" applyFont="1" applyBorder="1" applyAlignment="1">
      <alignment horizontal="left"/>
    </xf>
    <xf numFmtId="44" fontId="0" fillId="0" borderId="6" xfId="0" applyNumberFormat="1" applyBorder="1"/>
    <xf numFmtId="169" fontId="0" fillId="0" borderId="6" xfId="0" applyNumberFormat="1" applyBorder="1"/>
    <xf numFmtId="9" fontId="0" fillId="0" borderId="6" xfId="0" applyNumberFormat="1" applyBorder="1"/>
    <xf numFmtId="44" fontId="3" fillId="0" borderId="11" xfId="0" applyNumberFormat="1" applyFont="1" applyFill="1" applyBorder="1"/>
    <xf numFmtId="0" fontId="13" fillId="0" borderId="0" xfId="0" applyFont="1" applyProtection="1"/>
    <xf numFmtId="0" fontId="18" fillId="6" borderId="0" xfId="0" applyFont="1" applyFill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20" fillId="0" borderId="0" xfId="0" applyFont="1" applyFill="1" applyAlignment="1" applyProtection="1">
      <alignment horizontal="centerContinuous"/>
    </xf>
    <xf numFmtId="0" fontId="18" fillId="0" borderId="0" xfId="0" applyFont="1" applyFill="1" applyAlignment="1" applyProtection="1">
      <alignment horizontal="centerContinuous"/>
    </xf>
    <xf numFmtId="0" fontId="21" fillId="6" borderId="0" xfId="0" applyFont="1" applyFill="1" applyAlignment="1" applyProtection="1">
      <alignment horizontal="center"/>
    </xf>
    <xf numFmtId="0" fontId="19" fillId="0" borderId="0" xfId="0" applyFont="1" applyAlignment="1" applyProtection="1"/>
    <xf numFmtId="0" fontId="22" fillId="4" borderId="0" xfId="0" applyFont="1" applyFill="1" applyAlignment="1" applyProtection="1">
      <alignment horizontal="center"/>
    </xf>
    <xf numFmtId="0" fontId="21" fillId="4" borderId="0" xfId="0" applyFont="1" applyFill="1" applyAlignment="1" applyProtection="1">
      <alignment horizontal="center"/>
    </xf>
    <xf numFmtId="0" fontId="23" fillId="0" borderId="0" xfId="1" applyFont="1" applyAlignment="1" applyProtection="1">
      <alignment horizontal="center"/>
      <protection locked="0"/>
    </xf>
    <xf numFmtId="0" fontId="24" fillId="0" borderId="0" xfId="1" applyFont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left"/>
    </xf>
    <xf numFmtId="0" fontId="25" fillId="0" borderId="0" xfId="0" applyFont="1" applyProtection="1"/>
    <xf numFmtId="0" fontId="22" fillId="0" borderId="0" xfId="0" applyFont="1" applyFill="1" applyAlignment="1" applyProtection="1"/>
    <xf numFmtId="0" fontId="26" fillId="0" borderId="0" xfId="0" applyFont="1" applyProtection="1"/>
    <xf numFmtId="0" fontId="19" fillId="0" borderId="0" xfId="0" applyFont="1" applyProtection="1"/>
    <xf numFmtId="0" fontId="26" fillId="4" borderId="0" xfId="0" applyFont="1" applyFill="1" applyProtection="1"/>
    <xf numFmtId="0" fontId="25" fillId="0" borderId="0" xfId="1" applyFont="1" applyAlignment="1" applyProtection="1"/>
    <xf numFmtId="0" fontId="27" fillId="0" borderId="0" xfId="0" applyFont="1" applyFill="1" applyAlignment="1" applyProtection="1">
      <alignment horizontal="center"/>
    </xf>
    <xf numFmtId="0" fontId="27" fillId="0" borderId="0" xfId="0" applyFont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center"/>
    </xf>
    <xf numFmtId="0" fontId="29" fillId="0" borderId="0" xfId="0" applyFont="1" applyProtection="1"/>
    <xf numFmtId="0" fontId="26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Protection="1"/>
    <xf numFmtId="0" fontId="26" fillId="0" borderId="0" xfId="0" applyFont="1"/>
    <xf numFmtId="0" fontId="31" fillId="0" borderId="0" xfId="0" applyFont="1" applyProtection="1"/>
    <xf numFmtId="0" fontId="32" fillId="7" borderId="0" xfId="0" applyFont="1" applyFill="1" applyAlignment="1" applyProtection="1">
      <alignment horizontal="centerContinuous" vertical="center" wrapText="1"/>
    </xf>
    <xf numFmtId="0" fontId="21" fillId="0" borderId="0" xfId="0" applyFont="1" applyProtection="1"/>
    <xf numFmtId="0" fontId="35" fillId="7" borderId="35" xfId="0" applyFont="1" applyFill="1" applyBorder="1" applyAlignment="1" applyProtection="1">
      <alignment horizontal="center" vertical="center" wrapText="1"/>
    </xf>
    <xf numFmtId="0" fontId="35" fillId="7" borderId="36" xfId="0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Protection="1"/>
    <xf numFmtId="0" fontId="37" fillId="7" borderId="0" xfId="0" applyFont="1" applyFill="1" applyAlignment="1" applyProtection="1">
      <alignment horizontal="centerContinuous" vertical="center" wrapText="1"/>
    </xf>
    <xf numFmtId="0" fontId="38" fillId="7" borderId="0" xfId="0" applyFont="1" applyFill="1" applyAlignment="1" applyProtection="1">
      <alignment horizontal="centerContinuous" vertical="center" wrapText="1"/>
    </xf>
    <xf numFmtId="0" fontId="2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9" fillId="0" borderId="0" xfId="0" applyFont="1" applyBorder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</xf>
    <xf numFmtId="0" fontId="41" fillId="0" borderId="42" xfId="1" applyFont="1" applyBorder="1" applyAlignment="1" applyProtection="1">
      <alignment vertical="top"/>
      <protection locked="0"/>
    </xf>
    <xf numFmtId="0" fontId="41" fillId="0" borderId="0" xfId="1" applyFont="1" applyBorder="1" applyAlignment="1" applyProtection="1">
      <alignment horizontal="centerContinuous" vertical="top"/>
      <protection locked="0"/>
    </xf>
    <xf numFmtId="0" fontId="11" fillId="0" borderId="0" xfId="0" applyFont="1" applyAlignment="1" applyProtection="1">
      <alignment horizontal="centerContinuous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0" fontId="32" fillId="7" borderId="0" xfId="0" applyFont="1" applyFill="1" applyBorder="1" applyAlignment="1" applyProtection="1">
      <alignment horizontal="centerContinuous" vertical="center" wrapText="1"/>
    </xf>
    <xf numFmtId="0" fontId="46" fillId="0" borderId="0" xfId="0" applyFont="1" applyFill="1" applyAlignment="1" applyProtection="1">
      <alignment horizontal="right"/>
    </xf>
    <xf numFmtId="0" fontId="0" fillId="0" borderId="0" xfId="0" applyAlignment="1">
      <alignment vertical="center"/>
    </xf>
    <xf numFmtId="0" fontId="3" fillId="0" borderId="61" xfId="0" applyFont="1" applyBorder="1"/>
    <xf numFmtId="0" fontId="33" fillId="7" borderId="57" xfId="0" applyFont="1" applyFill="1" applyBorder="1" applyAlignment="1" applyProtection="1">
      <alignment horizontal="center" vertical="center"/>
    </xf>
    <xf numFmtId="0" fontId="33" fillId="7" borderId="38" xfId="0" applyFont="1" applyFill="1" applyBorder="1" applyAlignment="1" applyProtection="1">
      <alignment horizontal="center" vertical="center"/>
    </xf>
    <xf numFmtId="0" fontId="33" fillId="7" borderId="58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45" fillId="6" borderId="0" xfId="0" applyFont="1" applyFill="1" applyProtection="1"/>
    <xf numFmtId="0" fontId="49" fillId="7" borderId="0" xfId="0" applyFont="1" applyFill="1" applyAlignment="1" applyProtection="1">
      <alignment horizontal="centerContinuous" vertical="center"/>
    </xf>
    <xf numFmtId="0" fontId="33" fillId="7" borderId="0" xfId="0" applyFont="1" applyFill="1" applyAlignment="1" applyProtection="1">
      <alignment horizontal="center" vertical="center" wrapText="1"/>
    </xf>
    <xf numFmtId="0" fontId="2" fillId="0" borderId="0" xfId="0" applyFont="1"/>
    <xf numFmtId="0" fontId="53" fillId="0" borderId="0" xfId="0" applyFont="1"/>
    <xf numFmtId="0" fontId="54" fillId="0" borderId="0" xfId="0" applyFont="1" applyFill="1" applyBorder="1"/>
    <xf numFmtId="0" fontId="54" fillId="0" borderId="0" xfId="0" applyFont="1" applyBorder="1"/>
    <xf numFmtId="0" fontId="2" fillId="0" borderId="0" xfId="0" applyFont="1" applyBorder="1"/>
    <xf numFmtId="0" fontId="53" fillId="0" borderId="0" xfId="0" applyFont="1" applyBorder="1"/>
    <xf numFmtId="0" fontId="54" fillId="0" borderId="0" xfId="0" applyFont="1" applyBorder="1" applyAlignment="1">
      <alignment horizontal="left"/>
    </xf>
    <xf numFmtId="20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4" fontId="32" fillId="0" borderId="40" xfId="0" applyNumberFormat="1" applyFont="1" applyBorder="1" applyAlignment="1" applyProtection="1">
      <alignment horizontal="center" vertical="center"/>
    </xf>
    <xf numFmtId="0" fontId="42" fillId="4" borderId="13" xfId="0" applyFont="1" applyFill="1" applyBorder="1" applyAlignment="1" applyProtection="1">
      <alignment vertical="top"/>
    </xf>
    <xf numFmtId="0" fontId="34" fillId="0" borderId="0" xfId="0" applyFont="1" applyBorder="1" applyAlignment="1" applyProtection="1">
      <alignment horizontal="centerContinuous"/>
    </xf>
    <xf numFmtId="0" fontId="28" fillId="0" borderId="0" xfId="0" applyFont="1" applyFill="1" applyAlignment="1" applyProtection="1">
      <alignment horizontal="centerContinuous"/>
    </xf>
    <xf numFmtId="168" fontId="28" fillId="0" borderId="0" xfId="0" applyNumberFormat="1" applyFont="1" applyBorder="1" applyAlignment="1" applyProtection="1">
      <alignment horizontal="left" vertical="center"/>
      <protection locked="0"/>
    </xf>
    <xf numFmtId="168" fontId="28" fillId="0" borderId="0" xfId="0" applyNumberFormat="1" applyFont="1" applyBorder="1" applyAlignment="1" applyProtection="1">
      <alignment horizontal="left"/>
      <protection locked="0"/>
    </xf>
    <xf numFmtId="165" fontId="28" fillId="0" borderId="0" xfId="0" applyNumberFormat="1" applyFont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right"/>
    </xf>
    <xf numFmtId="0" fontId="58" fillId="0" borderId="0" xfId="0" applyFont="1" applyAlignment="1" applyProtection="1">
      <alignment horizontal="right"/>
    </xf>
    <xf numFmtId="167" fontId="28" fillId="0" borderId="0" xfId="0" applyNumberFormat="1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shrinkToFit="1"/>
    </xf>
    <xf numFmtId="0" fontId="58" fillId="0" borderId="0" xfId="0" applyFont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right" vertical="top"/>
    </xf>
    <xf numFmtId="0" fontId="28" fillId="0" borderId="0" xfId="0" applyFont="1" applyAlignment="1" applyProtection="1">
      <alignment horizontal="right"/>
    </xf>
    <xf numFmtId="0" fontId="13" fillId="0" borderId="0" xfId="0" applyFont="1" applyAlignment="1" applyProtection="1">
      <protection locked="0"/>
    </xf>
    <xf numFmtId="167" fontId="13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protection locked="0"/>
    </xf>
    <xf numFmtId="0" fontId="29" fillId="0" borderId="0" xfId="0" applyFont="1" applyBorder="1" applyProtection="1"/>
    <xf numFmtId="0" fontId="13" fillId="0" borderId="0" xfId="0" applyFont="1" applyBorder="1" applyAlignment="1" applyProtection="1"/>
    <xf numFmtId="0" fontId="33" fillId="6" borderId="0" xfId="0" applyFont="1" applyFill="1" applyAlignment="1" applyProtection="1">
      <alignment vertical="center" wrapText="1"/>
    </xf>
    <xf numFmtId="0" fontId="13" fillId="0" borderId="0" xfId="0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left"/>
      <protection locked="0"/>
    </xf>
    <xf numFmtId="0" fontId="32" fillId="0" borderId="38" xfId="0" applyFont="1" applyBorder="1" applyAlignment="1" applyProtection="1">
      <alignment horizontal="center" vertical="center"/>
    </xf>
    <xf numFmtId="44" fontId="32" fillId="0" borderId="41" xfId="0" applyNumberFormat="1" applyFont="1" applyBorder="1" applyAlignment="1" applyProtection="1">
      <alignment horizontal="center" vertical="center"/>
    </xf>
    <xf numFmtId="164" fontId="32" fillId="0" borderId="39" xfId="0" applyNumberFormat="1" applyFont="1" applyBorder="1" applyAlignment="1" applyProtection="1">
      <alignment horizontal="center" vertical="center"/>
    </xf>
    <xf numFmtId="164" fontId="32" fillId="0" borderId="38" xfId="0" applyNumberFormat="1" applyFont="1" applyBorder="1" applyAlignment="1" applyProtection="1">
      <alignment horizontal="center" vertical="center"/>
    </xf>
    <xf numFmtId="14" fontId="28" fillId="0" borderId="0" xfId="0" applyNumberFormat="1" applyFont="1" applyFill="1" applyBorder="1" applyAlignment="1" applyProtection="1">
      <alignment horizontal="left"/>
      <protection locked="0"/>
    </xf>
    <xf numFmtId="44" fontId="28" fillId="0" borderId="35" xfId="0" applyNumberFormat="1" applyFont="1" applyBorder="1" applyAlignment="1" applyProtection="1">
      <alignment shrinkToFit="1"/>
      <protection hidden="1"/>
    </xf>
    <xf numFmtId="1" fontId="28" fillId="0" borderId="35" xfId="0" applyNumberFormat="1" applyFont="1" applyBorder="1" applyAlignment="1" applyProtection="1">
      <alignment horizontal="center" shrinkToFit="1"/>
      <protection hidden="1"/>
    </xf>
    <xf numFmtId="0" fontId="28" fillId="0" borderId="35" xfId="0" applyNumberFormat="1" applyFont="1" applyBorder="1" applyAlignment="1" applyProtection="1">
      <alignment shrinkToFit="1"/>
      <protection locked="0" hidden="1"/>
    </xf>
    <xf numFmtId="44" fontId="28" fillId="0" borderId="37" xfId="0" applyNumberFormat="1" applyFont="1" applyBorder="1" applyAlignment="1" applyProtection="1">
      <alignment shrinkToFit="1"/>
      <protection hidden="1"/>
    </xf>
    <xf numFmtId="1" fontId="28" fillId="0" borderId="37" xfId="0" applyNumberFormat="1" applyFont="1" applyBorder="1" applyAlignment="1" applyProtection="1">
      <alignment horizontal="center" shrinkToFit="1"/>
      <protection hidden="1"/>
    </xf>
    <xf numFmtId="0" fontId="26" fillId="0" borderId="0" xfId="0" applyFont="1" applyProtection="1">
      <protection hidden="1"/>
    </xf>
    <xf numFmtId="0" fontId="58" fillId="0" borderId="0" xfId="0" applyFont="1" applyAlignment="1" applyProtection="1">
      <alignment horizontal="right"/>
      <protection hidden="1"/>
    </xf>
    <xf numFmtId="0" fontId="28" fillId="0" borderId="0" xfId="0" applyFont="1" applyBorder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right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Border="1" applyAlignment="1" applyProtection="1">
      <alignment shrinkToFit="1"/>
      <protection hidden="1"/>
    </xf>
    <xf numFmtId="0" fontId="42" fillId="4" borderId="0" xfId="0" applyFont="1" applyFill="1" applyBorder="1" applyAlignment="1" applyProtection="1">
      <alignment vertical="top"/>
      <protection hidden="1"/>
    </xf>
    <xf numFmtId="0" fontId="1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6" fillId="4" borderId="0" xfId="0" applyFont="1" applyFill="1" applyBorder="1" applyAlignment="1" applyProtection="1">
      <protection hidden="1"/>
    </xf>
    <xf numFmtId="167" fontId="28" fillId="0" borderId="0" xfId="0" applyNumberFormat="1" applyFont="1" applyBorder="1" applyAlignment="1" applyProtection="1">
      <alignment horizontal="left"/>
      <protection locked="0" hidden="1"/>
    </xf>
    <xf numFmtId="0" fontId="43" fillId="0" borderId="0" xfId="1" applyFont="1" applyBorder="1" applyAlignment="1" applyProtection="1">
      <protection locked="0" hidden="1"/>
    </xf>
    <xf numFmtId="49" fontId="28" fillId="0" borderId="0" xfId="0" applyNumberFormat="1" applyFont="1" applyBorder="1" applyAlignment="1" applyProtection="1">
      <alignment horizontal="left"/>
      <protection locked="0" hidden="1"/>
    </xf>
    <xf numFmtId="0" fontId="24" fillId="0" borderId="0" xfId="1" applyFont="1" applyBorder="1" applyAlignment="1" applyProtection="1">
      <alignment horizontal="center"/>
      <protection locked="0" hidden="1"/>
    </xf>
    <xf numFmtId="0" fontId="13" fillId="0" borderId="0" xfId="0" applyFont="1" applyProtection="1">
      <protection hidden="1"/>
    </xf>
    <xf numFmtId="0" fontId="25" fillId="0" borderId="0" xfId="0" applyFont="1" applyBorder="1" applyAlignment="1" applyProtection="1">
      <protection hidden="1"/>
    </xf>
    <xf numFmtId="0" fontId="48" fillId="0" borderId="0" xfId="0" applyFont="1" applyFill="1" applyBorder="1" applyAlignment="1" applyProtection="1">
      <alignment horizontal="left" shrinkToFit="1"/>
      <protection hidden="1"/>
    </xf>
    <xf numFmtId="0" fontId="22" fillId="0" borderId="0" xfId="0" applyFont="1" applyFill="1" applyBorder="1" applyAlignment="1" applyProtection="1">
      <protection hidden="1"/>
    </xf>
    <xf numFmtId="0" fontId="48" fillId="0" borderId="0" xfId="1" applyFont="1" applyBorder="1" applyAlignment="1" applyProtection="1">
      <alignment horizontal="center" shrinkToFit="1"/>
      <protection hidden="1"/>
    </xf>
    <xf numFmtId="0" fontId="16" fillId="0" borderId="0" xfId="0" applyFont="1" applyAlignment="1" applyProtection="1">
      <alignment shrinkToFit="1"/>
      <protection hidden="1"/>
    </xf>
    <xf numFmtId="0" fontId="28" fillId="0" borderId="0" xfId="0" applyFont="1" applyAlignment="1" applyProtection="1">
      <alignment horizontal="right" vertical="top" wrapText="1"/>
      <protection hidden="1"/>
    </xf>
    <xf numFmtId="0" fontId="28" fillId="0" borderId="0" xfId="0" applyFont="1" applyAlignment="1" applyProtection="1">
      <alignment horizontal="left" vertical="top" wrapText="1"/>
      <protection hidden="1"/>
    </xf>
    <xf numFmtId="0" fontId="19" fillId="0" borderId="0" xfId="0" applyFont="1" applyProtection="1">
      <protection hidden="1"/>
    </xf>
    <xf numFmtId="167" fontId="28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26" fillId="4" borderId="0" xfId="0" applyFont="1" applyFill="1" applyProtection="1"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 horizontal="right"/>
      <protection hidden="1"/>
    </xf>
    <xf numFmtId="165" fontId="28" fillId="0" borderId="0" xfId="0" applyNumberFormat="1" applyFont="1" applyBorder="1" applyAlignment="1" applyProtection="1">
      <alignment horizontal="left"/>
      <protection locked="0" hidden="1"/>
    </xf>
    <xf numFmtId="0" fontId="28" fillId="0" borderId="0" xfId="0" applyFont="1" applyFill="1" applyAlignment="1" applyProtection="1">
      <protection hidden="1"/>
    </xf>
    <xf numFmtId="0" fontId="29" fillId="0" borderId="0" xfId="0" applyFont="1" applyProtection="1">
      <protection hidden="1"/>
    </xf>
    <xf numFmtId="168" fontId="28" fillId="0" borderId="0" xfId="0" applyNumberFormat="1" applyFont="1" applyBorder="1" applyAlignment="1" applyProtection="1">
      <alignment horizontal="left"/>
      <protection locked="0" hidden="1"/>
    </xf>
    <xf numFmtId="0" fontId="34" fillId="0" borderId="0" xfId="0" applyFont="1" applyBorder="1" applyProtection="1">
      <protection hidden="1"/>
    </xf>
    <xf numFmtId="0" fontId="18" fillId="0" borderId="0" xfId="0" applyFont="1" applyFill="1" applyAlignment="1" applyProtection="1">
      <protection hidden="1"/>
    </xf>
    <xf numFmtId="168" fontId="18" fillId="0" borderId="0" xfId="0" applyNumberFormat="1" applyFont="1" applyFill="1" applyAlignment="1" applyProtection="1"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0" xfId="0" applyFont="1" applyFill="1" applyAlignment="1" applyProtection="1">
      <alignment horizontal="right"/>
      <protection hidden="1"/>
    </xf>
    <xf numFmtId="0" fontId="26" fillId="0" borderId="0" xfId="0" applyFont="1" applyBorder="1" applyAlignment="1" applyProtection="1">
      <alignment horizontal="center" vertical="center" wrapText="1"/>
      <protection locked="0" hidden="1"/>
    </xf>
    <xf numFmtId="0" fontId="36" fillId="0" borderId="0" xfId="0" applyFont="1" applyBorder="1" applyAlignment="1" applyProtection="1">
      <alignment horizontal="center" vertical="center" wrapText="1"/>
      <protection locked="0" hidden="1"/>
    </xf>
    <xf numFmtId="0" fontId="36" fillId="0" borderId="0" xfId="0" applyFont="1" applyProtection="1">
      <protection hidden="1"/>
    </xf>
    <xf numFmtId="0" fontId="38" fillId="7" borderId="0" xfId="0" applyFont="1" applyFill="1" applyAlignment="1" applyProtection="1">
      <alignment horizontal="centerContinuous" vertical="center" wrapText="1"/>
      <protection hidden="1"/>
    </xf>
    <xf numFmtId="0" fontId="37" fillId="7" borderId="0" xfId="0" applyFont="1" applyFill="1" applyAlignment="1" applyProtection="1">
      <alignment horizontal="centerContinuous" vertical="center" wrapText="1"/>
      <protection hidden="1"/>
    </xf>
    <xf numFmtId="0" fontId="32" fillId="7" borderId="0" xfId="0" applyFont="1" applyFill="1" applyAlignment="1" applyProtection="1">
      <alignment horizontal="centerContinuous" vertical="center" wrapText="1"/>
      <protection hidden="1"/>
    </xf>
    <xf numFmtId="0" fontId="32" fillId="7" borderId="0" xfId="0" applyFont="1" applyFill="1" applyBorder="1" applyAlignment="1" applyProtection="1">
      <alignment horizontal="left" vertical="center" wrapText="1"/>
      <protection hidden="1"/>
    </xf>
    <xf numFmtId="0" fontId="35" fillId="7" borderId="35" xfId="0" applyFont="1" applyFill="1" applyBorder="1" applyAlignment="1" applyProtection="1">
      <alignment horizontal="center" vertical="center" wrapText="1"/>
      <protection hidden="1"/>
    </xf>
    <xf numFmtId="0" fontId="35" fillId="7" borderId="36" xfId="0" applyFont="1" applyFill="1" applyBorder="1" applyAlignment="1" applyProtection="1">
      <alignment horizontal="center" vertical="center" wrapText="1"/>
      <protection hidden="1"/>
    </xf>
    <xf numFmtId="0" fontId="21" fillId="0" borderId="35" xfId="0" applyFont="1" applyFill="1" applyBorder="1" applyAlignment="1" applyProtection="1">
      <alignment shrinkToFit="1"/>
      <protection locked="0" hidden="1"/>
    </xf>
    <xf numFmtId="0" fontId="33" fillId="7" borderId="57" xfId="0" applyFont="1" applyFill="1" applyBorder="1" applyAlignment="1" applyProtection="1">
      <alignment horizontal="center" vertical="center"/>
      <protection hidden="1"/>
    </xf>
    <xf numFmtId="0" fontId="33" fillId="7" borderId="38" xfId="0" applyFont="1" applyFill="1" applyBorder="1" applyAlignment="1" applyProtection="1">
      <alignment horizontal="center" vertical="center"/>
      <protection hidden="1"/>
    </xf>
    <xf numFmtId="0" fontId="32" fillId="0" borderId="38" xfId="0" applyFont="1" applyBorder="1" applyAlignment="1" applyProtection="1">
      <alignment horizontal="center" vertical="center"/>
      <protection hidden="1"/>
    </xf>
    <xf numFmtId="164" fontId="32" fillId="0" borderId="39" xfId="0" applyNumberFormat="1" applyFont="1" applyBorder="1" applyAlignment="1" applyProtection="1">
      <alignment horizontal="center" vertical="center"/>
      <protection hidden="1"/>
    </xf>
    <xf numFmtId="164" fontId="32" fillId="0" borderId="38" xfId="0" applyNumberFormat="1" applyFont="1" applyBorder="1" applyAlignment="1" applyProtection="1">
      <alignment horizontal="center" vertical="center"/>
      <protection hidden="1"/>
    </xf>
    <xf numFmtId="44" fontId="32" fillId="0" borderId="41" xfId="0" applyNumberFormat="1" applyFont="1" applyBorder="1" applyAlignment="1" applyProtection="1">
      <alignment horizontal="center" vertical="center"/>
      <protection hidden="1"/>
    </xf>
    <xf numFmtId="164" fontId="32" fillId="0" borderId="4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Protection="1">
      <protection hidden="1"/>
    </xf>
    <xf numFmtId="0" fontId="58" fillId="0" borderId="0" xfId="0" applyFont="1" applyAlignment="1" applyProtection="1">
      <alignment horizontal="right"/>
      <protection locked="0"/>
    </xf>
    <xf numFmtId="44" fontId="28" fillId="0" borderId="35" xfId="0" applyNumberFormat="1" applyFont="1" applyBorder="1" applyAlignment="1" applyProtection="1">
      <alignment shrinkToFit="1"/>
    </xf>
    <xf numFmtId="0" fontId="28" fillId="0" borderId="35" xfId="0" applyFont="1" applyFill="1" applyBorder="1" applyAlignment="1" applyProtection="1">
      <alignment shrinkToFit="1"/>
      <protection locked="0" hidden="1"/>
    </xf>
    <xf numFmtId="0" fontId="28" fillId="6" borderId="35" xfId="0" applyFont="1" applyFill="1" applyBorder="1" applyAlignment="1" applyProtection="1">
      <alignment shrinkToFit="1"/>
      <protection locked="0" hidden="1"/>
    </xf>
    <xf numFmtId="0" fontId="28" fillId="0" borderId="35" xfId="0" applyFont="1" applyBorder="1" applyAlignment="1" applyProtection="1">
      <alignment shrinkToFit="1"/>
      <protection locked="0" hidden="1"/>
    </xf>
    <xf numFmtId="0" fontId="28" fillId="0" borderId="37" xfId="0" applyFont="1" applyBorder="1" applyAlignment="1" applyProtection="1">
      <alignment shrinkToFit="1"/>
      <protection locked="0" hidden="1"/>
    </xf>
    <xf numFmtId="0" fontId="12" fillId="0" borderId="53" xfId="2" applyFont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 shrinkToFit="1"/>
    </xf>
    <xf numFmtId="0" fontId="33" fillId="7" borderId="0" xfId="0" applyFont="1" applyFill="1" applyAlignment="1" applyProtection="1">
      <alignment horizontal="centerContinuous" vertical="center"/>
    </xf>
    <xf numFmtId="164" fontId="28" fillId="0" borderId="35" xfId="0" applyNumberFormat="1" applyFont="1" applyBorder="1" applyAlignment="1" applyProtection="1">
      <alignment shrinkToFit="1"/>
    </xf>
    <xf numFmtId="0" fontId="13" fillId="0" borderId="0" xfId="0" applyFont="1" applyAlignment="1" applyProtection="1">
      <alignment horizontal="left"/>
      <protection locked="0"/>
    </xf>
    <xf numFmtId="0" fontId="8" fillId="0" borderId="25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7" fillId="0" borderId="47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7" fillId="0" borderId="5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7" fillId="0" borderId="53" xfId="2" applyFont="1" applyBorder="1" applyAlignment="1">
      <alignment horizontal="center"/>
    </xf>
    <xf numFmtId="0" fontId="7" fillId="0" borderId="42" xfId="2" applyFont="1" applyBorder="1" applyAlignment="1">
      <alignment horizontal="center"/>
    </xf>
    <xf numFmtId="1" fontId="8" fillId="0" borderId="25" xfId="2" applyNumberFormat="1" applyFont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left"/>
      <protection locked="0"/>
    </xf>
    <xf numFmtId="171" fontId="11" fillId="4" borderId="20" xfId="2" applyNumberFormat="1" applyFont="1" applyFill="1" applyBorder="1" applyAlignment="1">
      <alignment horizontal="center" vertical="center"/>
    </xf>
    <xf numFmtId="0" fontId="62" fillId="0" borderId="0" xfId="0" applyFont="1"/>
    <xf numFmtId="0" fontId="65" fillId="0" borderId="0" xfId="0" applyFont="1"/>
    <xf numFmtId="0" fontId="0" fillId="0" borderId="0" xfId="0" applyAlignment="1">
      <alignment horizontal="centerContinuous"/>
    </xf>
    <xf numFmtId="49" fontId="63" fillId="0" borderId="0" xfId="0" applyNumberFormat="1" applyFont="1" applyAlignment="1">
      <alignment horizontal="centerContinuous"/>
    </xf>
    <xf numFmtId="0" fontId="63" fillId="0" borderId="0" xfId="0" applyFont="1" applyAlignment="1">
      <alignment horizontal="centerContinuous"/>
    </xf>
    <xf numFmtId="166" fontId="63" fillId="0" borderId="74" xfId="0" applyNumberFormat="1" applyFont="1" applyBorder="1" applyAlignment="1">
      <alignment horizontal="centerContinuous" shrinkToFit="1"/>
    </xf>
    <xf numFmtId="166" fontId="63" fillId="0" borderId="82" xfId="0" applyNumberFormat="1" applyFont="1" applyBorder="1" applyAlignment="1">
      <alignment horizontal="centerContinuous" shrinkToFit="1"/>
    </xf>
    <xf numFmtId="0" fontId="11" fillId="5" borderId="17" xfId="2" applyFont="1" applyFill="1" applyBorder="1" applyAlignment="1">
      <alignment horizontal="centerContinuous"/>
    </xf>
    <xf numFmtId="0" fontId="11" fillId="5" borderId="32" xfId="2" applyFont="1" applyFill="1" applyBorder="1" applyAlignment="1">
      <alignment horizontal="centerContinuous"/>
    </xf>
    <xf numFmtId="0" fontId="11" fillId="5" borderId="17" xfId="2" applyFont="1" applyFill="1" applyBorder="1" applyAlignment="1">
      <alignment horizontal="centerContinuous" vertical="center"/>
    </xf>
    <xf numFmtId="0" fontId="11" fillId="5" borderId="32" xfId="2" applyFont="1" applyFill="1" applyBorder="1" applyAlignment="1">
      <alignment horizontal="centerContinuous" vertical="center"/>
    </xf>
    <xf numFmtId="0" fontId="67" fillId="0" borderId="63" xfId="0" applyFont="1" applyBorder="1" applyAlignment="1">
      <alignment horizontal="center"/>
    </xf>
    <xf numFmtId="0" fontId="67" fillId="0" borderId="65" xfId="0" applyFont="1" applyBorder="1" applyAlignment="1">
      <alignment horizontal="center"/>
    </xf>
    <xf numFmtId="0" fontId="67" fillId="0" borderId="67" xfId="0" applyFont="1" applyBorder="1" applyAlignment="1">
      <alignment horizontal="center"/>
    </xf>
    <xf numFmtId="0" fontId="16" fillId="4" borderId="26" xfId="2" applyFont="1" applyFill="1" applyBorder="1" applyAlignment="1">
      <alignment horizontal="center" vertical="center"/>
    </xf>
    <xf numFmtId="0" fontId="11" fillId="4" borderId="52" xfId="2" applyFont="1" applyFill="1" applyBorder="1"/>
    <xf numFmtId="0" fontId="14" fillId="0" borderId="26" xfId="2" applyFont="1" applyBorder="1" applyAlignment="1"/>
    <xf numFmtId="0" fontId="14" fillId="0" borderId="26" xfId="2" applyFont="1" applyBorder="1" applyAlignment="1">
      <alignment horizontal="left"/>
    </xf>
    <xf numFmtId="0" fontId="14" fillId="0" borderId="31" xfId="2" applyFont="1" applyBorder="1" applyAlignment="1"/>
    <xf numFmtId="1" fontId="8" fillId="0" borderId="26" xfId="2" applyNumberFormat="1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 wrapText="1"/>
    </xf>
    <xf numFmtId="1" fontId="8" fillId="0" borderId="30" xfId="2" applyNumberFormat="1" applyFont="1" applyBorder="1" applyAlignment="1">
      <alignment horizontal="center" vertical="center"/>
    </xf>
    <xf numFmtId="1" fontId="8" fillId="0" borderId="31" xfId="2" applyNumberFormat="1" applyFont="1" applyBorder="1" applyAlignment="1">
      <alignment horizontal="center" vertical="center"/>
    </xf>
    <xf numFmtId="0" fontId="11" fillId="4" borderId="50" xfId="2" applyFont="1" applyFill="1" applyBorder="1"/>
    <xf numFmtId="0" fontId="2" fillId="4" borderId="83" xfId="2" applyFont="1" applyFill="1" applyBorder="1" applyAlignment="1">
      <alignment horizontal="center" vertical="center"/>
    </xf>
    <xf numFmtId="0" fontId="14" fillId="4" borderId="84" xfId="2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vertical="center"/>
    </xf>
    <xf numFmtId="167" fontId="14" fillId="4" borderId="52" xfId="2" applyNumberFormat="1" applyFont="1" applyFill="1" applyBorder="1" applyAlignment="1">
      <alignment vertical="center"/>
    </xf>
    <xf numFmtId="44" fontId="21" fillId="0" borderId="35" xfId="3" applyFont="1" applyFill="1" applyBorder="1" applyAlignment="1" applyProtection="1">
      <alignment shrinkToFit="1"/>
      <protection locked="0" hidden="1"/>
    </xf>
    <xf numFmtId="0" fontId="61" fillId="0" borderId="0" xfId="0" applyFont="1" applyAlignment="1" applyProtection="1">
      <alignment vertical="center"/>
      <protection locked="0"/>
    </xf>
    <xf numFmtId="0" fontId="53" fillId="0" borderId="0" xfId="0" applyFont="1" applyAlignment="1">
      <alignment horizontal="center" vertical="center"/>
    </xf>
    <xf numFmtId="44" fontId="0" fillId="0" borderId="84" xfId="0" applyNumberFormat="1" applyBorder="1"/>
    <xf numFmtId="169" fontId="0" fillId="0" borderId="84" xfId="0" applyNumberFormat="1" applyBorder="1"/>
    <xf numFmtId="9" fontId="0" fillId="0" borderId="84" xfId="0" applyNumberFormat="1" applyBorder="1"/>
    <xf numFmtId="44" fontId="3" fillId="0" borderId="85" xfId="0" applyNumberFormat="1" applyFont="1" applyFill="1" applyBorder="1"/>
    <xf numFmtId="0" fontId="68" fillId="0" borderId="63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16" fillId="0" borderId="33" xfId="2" applyFont="1" applyBorder="1" applyAlignment="1"/>
    <xf numFmtId="0" fontId="12" fillId="0" borderId="9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2" fillId="0" borderId="94" xfId="2" applyFont="1" applyBorder="1" applyAlignment="1">
      <alignment horizontal="center" vertical="center"/>
    </xf>
    <xf numFmtId="0" fontId="40" fillId="4" borderId="19" xfId="0" applyFont="1" applyFill="1" applyBorder="1" applyAlignment="1" applyProtection="1">
      <alignment horizontal="center" shrinkToFit="1"/>
    </xf>
    <xf numFmtId="0" fontId="40" fillId="4" borderId="20" xfId="0" applyFont="1" applyFill="1" applyBorder="1" applyAlignment="1" applyProtection="1">
      <alignment horizontal="center" shrinkToFit="1"/>
    </xf>
    <xf numFmtId="0" fontId="40" fillId="4" borderId="61" xfId="0" applyFont="1" applyFill="1" applyBorder="1" applyAlignment="1" applyProtection="1">
      <alignment horizontal="center" shrinkToFit="1"/>
    </xf>
    <xf numFmtId="0" fontId="33" fillId="7" borderId="59" xfId="0" applyFont="1" applyFill="1" applyBorder="1" applyAlignment="1" applyProtection="1">
      <alignment horizontal="center" vertical="center"/>
    </xf>
    <xf numFmtId="0" fontId="33" fillId="7" borderId="60" xfId="0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25" fillId="0" borderId="42" xfId="1" applyFont="1" applyBorder="1" applyAlignment="1" applyProtection="1">
      <alignment horizontal="center"/>
    </xf>
    <xf numFmtId="0" fontId="42" fillId="4" borderId="68" xfId="0" applyFont="1" applyFill="1" applyBorder="1" applyAlignment="1" applyProtection="1">
      <alignment horizontal="center" vertical="center"/>
    </xf>
    <xf numFmtId="0" fontId="42" fillId="4" borderId="69" xfId="0" applyFont="1" applyFill="1" applyBorder="1" applyAlignment="1" applyProtection="1">
      <alignment horizontal="center" vertical="center"/>
    </xf>
    <xf numFmtId="0" fontId="42" fillId="4" borderId="21" xfId="0" applyFont="1" applyFill="1" applyBorder="1" applyAlignment="1" applyProtection="1">
      <alignment horizontal="center" vertical="center"/>
    </xf>
    <xf numFmtId="0" fontId="42" fillId="4" borderId="13" xfId="0" applyFont="1" applyFill="1" applyBorder="1" applyAlignment="1" applyProtection="1">
      <alignment horizontal="center" vertical="center"/>
    </xf>
    <xf numFmtId="0" fontId="42" fillId="4" borderId="18" xfId="0" applyFont="1" applyFill="1" applyBorder="1" applyAlignment="1" applyProtection="1">
      <alignment horizontal="center" vertical="center"/>
    </xf>
    <xf numFmtId="0" fontId="42" fillId="4" borderId="70" xfId="0" applyFont="1" applyFill="1" applyBorder="1" applyAlignment="1" applyProtection="1">
      <alignment horizontal="center" vertical="center"/>
    </xf>
    <xf numFmtId="0" fontId="57" fillId="4" borderId="68" xfId="0" applyFont="1" applyFill="1" applyBorder="1" applyAlignment="1" applyProtection="1">
      <alignment horizontal="center" vertical="center" shrinkToFit="1"/>
      <protection locked="0"/>
    </xf>
    <xf numFmtId="0" fontId="57" fillId="4" borderId="69" xfId="0" applyFont="1" applyFill="1" applyBorder="1" applyAlignment="1" applyProtection="1">
      <alignment horizontal="center" vertical="center" shrinkToFit="1"/>
      <protection locked="0"/>
    </xf>
    <xf numFmtId="0" fontId="57" fillId="4" borderId="21" xfId="0" applyFont="1" applyFill="1" applyBorder="1" applyAlignment="1" applyProtection="1">
      <alignment horizontal="center" vertical="center" shrinkToFit="1"/>
      <protection locked="0"/>
    </xf>
    <xf numFmtId="0" fontId="57" fillId="4" borderId="13" xfId="0" applyFont="1" applyFill="1" applyBorder="1" applyAlignment="1" applyProtection="1">
      <alignment horizontal="center" vertical="center" shrinkToFit="1"/>
      <protection locked="0"/>
    </xf>
    <xf numFmtId="0" fontId="57" fillId="4" borderId="18" xfId="0" applyFont="1" applyFill="1" applyBorder="1" applyAlignment="1" applyProtection="1">
      <alignment horizontal="center" vertical="center" shrinkToFit="1"/>
      <protection locked="0"/>
    </xf>
    <xf numFmtId="0" fontId="57" fillId="4" borderId="70" xfId="0" applyFont="1" applyFill="1" applyBorder="1" applyAlignment="1" applyProtection="1">
      <alignment horizontal="center" vertical="center" shrinkToFit="1"/>
      <protection locked="0"/>
    </xf>
    <xf numFmtId="0" fontId="28" fillId="0" borderId="47" xfId="0" applyFont="1" applyFill="1" applyBorder="1" applyAlignment="1" applyProtection="1">
      <alignment horizontal="center" wrapText="1"/>
    </xf>
    <xf numFmtId="0" fontId="28" fillId="0" borderId="48" xfId="0" applyFont="1" applyFill="1" applyBorder="1" applyAlignment="1" applyProtection="1">
      <alignment horizontal="center" wrapText="1"/>
    </xf>
    <xf numFmtId="0" fontId="28" fillId="0" borderId="51" xfId="0" applyFont="1" applyFill="1" applyBorder="1" applyAlignment="1" applyProtection="1">
      <alignment horizontal="center" wrapText="1"/>
    </xf>
    <xf numFmtId="0" fontId="28" fillId="0" borderId="50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center" wrapText="1"/>
    </xf>
    <xf numFmtId="0" fontId="28" fillId="0" borderId="52" xfId="0" applyFont="1" applyFill="1" applyBorder="1" applyAlignment="1" applyProtection="1">
      <alignment horizontal="center" wrapText="1"/>
    </xf>
    <xf numFmtId="0" fontId="28" fillId="0" borderId="22" xfId="0" applyFont="1" applyFill="1" applyBorder="1" applyAlignment="1" applyProtection="1">
      <alignment horizontal="center" wrapText="1"/>
    </xf>
    <xf numFmtId="0" fontId="28" fillId="0" borderId="24" xfId="0" applyFont="1" applyFill="1" applyBorder="1" applyAlignment="1" applyProtection="1">
      <alignment horizontal="center" wrapText="1"/>
    </xf>
    <xf numFmtId="0" fontId="28" fillId="0" borderId="56" xfId="0" applyFont="1" applyFill="1" applyBorder="1" applyAlignment="1" applyProtection="1">
      <alignment horizontal="center" wrapText="1"/>
    </xf>
    <xf numFmtId="0" fontId="44" fillId="0" borderId="0" xfId="0" applyFont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8" fillId="0" borderId="0" xfId="0" applyFont="1" applyAlignment="1" applyProtection="1">
      <alignment horizontal="left" vertical="top" wrapText="1"/>
      <protection locked="0"/>
    </xf>
    <xf numFmtId="167" fontId="13" fillId="0" borderId="0" xfId="0" applyNumberFormat="1" applyFont="1" applyAlignment="1" applyProtection="1">
      <alignment horizontal="left"/>
      <protection locked="0"/>
    </xf>
    <xf numFmtId="164" fontId="32" fillId="0" borderId="43" xfId="0" applyNumberFormat="1" applyFont="1" applyBorder="1" applyAlignment="1" applyProtection="1">
      <alignment horizontal="center" vertical="center"/>
    </xf>
    <xf numFmtId="164" fontId="32" fillId="0" borderId="44" xfId="0" applyNumberFormat="1" applyFont="1" applyBorder="1" applyAlignment="1" applyProtection="1">
      <alignment horizontal="center" vertical="center"/>
    </xf>
    <xf numFmtId="164" fontId="32" fillId="0" borderId="40" xfId="0" applyNumberFormat="1" applyFont="1" applyBorder="1" applyAlignment="1" applyProtection="1">
      <alignment horizontal="center" vertical="center"/>
    </xf>
    <xf numFmtId="164" fontId="32" fillId="0" borderId="45" xfId="0" applyNumberFormat="1" applyFont="1" applyBorder="1" applyAlignment="1" applyProtection="1">
      <alignment horizontal="center" vertical="center"/>
    </xf>
    <xf numFmtId="164" fontId="32" fillId="0" borderId="39" xfId="0" applyNumberFormat="1" applyFont="1" applyBorder="1" applyAlignment="1" applyProtection="1">
      <alignment horizontal="center" vertical="center"/>
    </xf>
    <xf numFmtId="164" fontId="32" fillId="0" borderId="46" xfId="0" applyNumberFormat="1" applyFont="1" applyBorder="1" applyAlignment="1" applyProtection="1">
      <alignment horizontal="center" vertical="center"/>
    </xf>
    <xf numFmtId="0" fontId="5" fillId="0" borderId="0" xfId="1" applyAlignment="1" applyProtection="1">
      <alignment horizontal="left"/>
      <protection locked="0"/>
    </xf>
    <xf numFmtId="164" fontId="32" fillId="0" borderId="39" xfId="0" applyNumberFormat="1" applyFont="1" applyBorder="1" applyAlignment="1" applyProtection="1">
      <alignment horizontal="center" vertical="center"/>
      <protection hidden="1"/>
    </xf>
    <xf numFmtId="164" fontId="32" fillId="0" borderId="46" xfId="0" applyNumberFormat="1" applyFont="1" applyBorder="1" applyAlignment="1" applyProtection="1">
      <alignment horizontal="center" vertical="center"/>
      <protection hidden="1"/>
    </xf>
    <xf numFmtId="164" fontId="59" fillId="0" borderId="43" xfId="0" applyNumberFormat="1" applyFont="1" applyBorder="1" applyAlignment="1" applyProtection="1">
      <alignment horizontal="center" vertical="center" shrinkToFit="1"/>
      <protection hidden="1"/>
    </xf>
    <xf numFmtId="164" fontId="59" fillId="0" borderId="44" xfId="0" applyNumberFormat="1" applyFont="1" applyBorder="1" applyAlignment="1" applyProtection="1">
      <alignment horizontal="center" vertical="center" shrinkToFit="1"/>
      <protection hidden="1"/>
    </xf>
    <xf numFmtId="164" fontId="59" fillId="0" borderId="40" xfId="0" applyNumberFormat="1" applyFont="1" applyBorder="1" applyAlignment="1" applyProtection="1">
      <alignment horizontal="center" vertical="center" shrinkToFit="1"/>
      <protection hidden="1"/>
    </xf>
    <xf numFmtId="164" fontId="59" fillId="0" borderId="45" xfId="0" applyNumberFormat="1" applyFont="1" applyBorder="1" applyAlignment="1" applyProtection="1">
      <alignment horizontal="center" vertical="center" shrinkToFit="1"/>
      <protection hidden="1"/>
    </xf>
    <xf numFmtId="0" fontId="42" fillId="4" borderId="0" xfId="0" applyFont="1" applyFill="1" applyBorder="1" applyAlignment="1" applyProtection="1">
      <alignment horizontal="center" vertical="top"/>
    </xf>
    <xf numFmtId="0" fontId="49" fillId="7" borderId="0" xfId="0" applyFont="1" applyFill="1" applyAlignment="1" applyProtection="1">
      <alignment horizontal="center" vertical="center"/>
      <protection hidden="1"/>
    </xf>
    <xf numFmtId="170" fontId="16" fillId="0" borderId="0" xfId="0" applyNumberFormat="1" applyFont="1" applyAlignment="1" applyProtection="1">
      <alignment horizontal="center" shrinkToFit="1"/>
      <protection hidden="1"/>
    </xf>
    <xf numFmtId="0" fontId="50" fillId="4" borderId="0" xfId="0" applyFont="1" applyFill="1" applyBorder="1" applyAlignment="1" applyProtection="1">
      <alignment horizontal="center" vertical="center"/>
      <protection hidden="1"/>
    </xf>
    <xf numFmtId="0" fontId="33" fillId="7" borderId="0" xfId="0" applyFont="1" applyFill="1" applyAlignment="1" applyProtection="1">
      <alignment horizontal="center" vertical="center"/>
      <protection hidden="1"/>
    </xf>
    <xf numFmtId="0" fontId="50" fillId="4" borderId="0" xfId="0" applyFont="1" applyFill="1" applyBorder="1" applyAlignment="1" applyProtection="1">
      <alignment horizontal="center" vertical="center" shrinkToFit="1"/>
      <protection hidden="1"/>
    </xf>
    <xf numFmtId="0" fontId="56" fillId="4" borderId="19" xfId="0" applyFont="1" applyFill="1" applyBorder="1" applyAlignment="1" applyProtection="1">
      <alignment horizontal="center" vertical="center"/>
      <protection hidden="1"/>
    </xf>
    <xf numFmtId="0" fontId="56" fillId="4" borderId="73" xfId="0" applyFont="1" applyFill="1" applyBorder="1" applyAlignment="1" applyProtection="1">
      <alignment horizontal="center" vertical="center"/>
      <protection hidden="1"/>
    </xf>
    <xf numFmtId="0" fontId="33" fillId="7" borderId="0" xfId="0" applyFont="1" applyFill="1" applyAlignment="1" applyProtection="1">
      <alignment horizontal="center" vertical="center" wrapText="1"/>
      <protection hidden="1"/>
    </xf>
    <xf numFmtId="0" fontId="56" fillId="4" borderId="71" xfId="0" applyFont="1" applyFill="1" applyBorder="1" applyAlignment="1" applyProtection="1">
      <alignment horizontal="center" vertical="center"/>
      <protection hidden="1"/>
    </xf>
    <xf numFmtId="0" fontId="56" fillId="4" borderId="63" xfId="0" applyFont="1" applyFill="1" applyBorder="1" applyAlignment="1" applyProtection="1">
      <alignment horizontal="center" vertical="center"/>
      <protection hidden="1"/>
    </xf>
    <xf numFmtId="0" fontId="56" fillId="4" borderId="4" xfId="0" applyFont="1" applyFill="1" applyBorder="1" applyAlignment="1" applyProtection="1">
      <alignment horizontal="center" vertical="center"/>
      <protection hidden="1"/>
    </xf>
    <xf numFmtId="0" fontId="56" fillId="4" borderId="65" xfId="0" applyFont="1" applyFill="1" applyBorder="1" applyAlignment="1" applyProtection="1">
      <alignment horizontal="center" vertical="center"/>
      <protection hidden="1"/>
    </xf>
    <xf numFmtId="0" fontId="56" fillId="4" borderId="72" xfId="0" applyFont="1" applyFill="1" applyBorder="1" applyAlignment="1" applyProtection="1">
      <alignment horizontal="center" vertical="center"/>
      <protection hidden="1"/>
    </xf>
    <xf numFmtId="0" fontId="56" fillId="4" borderId="67" xfId="0" applyFont="1" applyFill="1" applyBorder="1" applyAlignment="1" applyProtection="1">
      <alignment horizontal="center" vertical="center"/>
      <protection hidden="1"/>
    </xf>
    <xf numFmtId="0" fontId="33" fillId="7" borderId="39" xfId="0" applyFont="1" applyFill="1" applyBorder="1" applyAlignment="1" applyProtection="1">
      <alignment horizontal="center" vertical="center"/>
      <protection hidden="1"/>
    </xf>
    <xf numFmtId="0" fontId="33" fillId="7" borderId="46" xfId="0" applyFont="1" applyFill="1" applyBorder="1" applyAlignment="1" applyProtection="1">
      <alignment horizontal="center" vertical="center"/>
      <protection hidden="1"/>
    </xf>
    <xf numFmtId="0" fontId="56" fillId="4" borderId="62" xfId="0" applyFont="1" applyFill="1" applyBorder="1" applyAlignment="1" applyProtection="1">
      <alignment horizontal="left" vertical="center"/>
      <protection hidden="1"/>
    </xf>
    <xf numFmtId="0" fontId="56" fillId="4" borderId="71" xfId="0" applyFont="1" applyFill="1" applyBorder="1" applyAlignment="1" applyProtection="1">
      <alignment horizontal="left" vertical="center"/>
      <protection hidden="1"/>
    </xf>
    <xf numFmtId="0" fontId="56" fillId="4" borderId="64" xfId="0" applyFont="1" applyFill="1" applyBorder="1" applyAlignment="1" applyProtection="1">
      <alignment horizontal="left" vertical="center"/>
      <protection hidden="1"/>
    </xf>
    <xf numFmtId="0" fontId="56" fillId="4" borderId="4" xfId="0" applyFont="1" applyFill="1" applyBorder="1" applyAlignment="1" applyProtection="1">
      <alignment horizontal="left" vertical="center"/>
      <protection hidden="1"/>
    </xf>
    <xf numFmtId="0" fontId="56" fillId="4" borderId="66" xfId="0" applyFont="1" applyFill="1" applyBorder="1" applyAlignment="1" applyProtection="1">
      <alignment horizontal="left" vertical="center"/>
      <protection hidden="1"/>
    </xf>
    <xf numFmtId="0" fontId="56" fillId="4" borderId="72" xfId="0" applyFont="1" applyFill="1" applyBorder="1" applyAlignment="1" applyProtection="1">
      <alignment horizontal="left" vertical="center"/>
      <protection hidden="1"/>
    </xf>
    <xf numFmtId="0" fontId="68" fillId="0" borderId="81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8" fillId="0" borderId="89" xfId="0" applyFont="1" applyBorder="1" applyAlignment="1">
      <alignment horizontal="center" vertical="center"/>
    </xf>
    <xf numFmtId="0" fontId="68" fillId="0" borderId="90" xfId="0" applyFont="1" applyBorder="1" applyAlignment="1">
      <alignment horizontal="center" vertical="center"/>
    </xf>
    <xf numFmtId="0" fontId="68" fillId="0" borderId="91" xfId="0" applyFont="1" applyBorder="1" applyAlignment="1">
      <alignment horizontal="center" vertical="center"/>
    </xf>
    <xf numFmtId="0" fontId="68" fillId="0" borderId="86" xfId="0" applyFont="1" applyBorder="1" applyAlignment="1">
      <alignment horizontal="center" vertical="center"/>
    </xf>
    <xf numFmtId="0" fontId="68" fillId="0" borderId="87" xfId="0" applyFont="1" applyBorder="1" applyAlignment="1">
      <alignment horizontal="center" vertical="center"/>
    </xf>
    <xf numFmtId="0" fontId="68" fillId="0" borderId="88" xfId="0" applyFont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5" borderId="17" xfId="2" applyFont="1" applyFill="1" applyBorder="1" applyAlignment="1">
      <alignment horizontal="center"/>
    </xf>
    <xf numFmtId="0" fontId="11" fillId="5" borderId="32" xfId="2" applyFont="1" applyFill="1" applyBorder="1" applyAlignment="1">
      <alignment horizontal="center"/>
    </xf>
    <xf numFmtId="0" fontId="11" fillId="5" borderId="33" xfId="2" applyFont="1" applyFill="1" applyBorder="1" applyAlignment="1">
      <alignment horizontal="center"/>
    </xf>
    <xf numFmtId="0" fontId="7" fillId="0" borderId="47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5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9" fillId="8" borderId="47" xfId="2" applyFont="1" applyFill="1" applyBorder="1" applyAlignment="1">
      <alignment horizontal="center" vertical="center"/>
    </xf>
    <xf numFmtId="0" fontId="9" fillId="8" borderId="48" xfId="2" applyFont="1" applyFill="1" applyBorder="1" applyAlignment="1">
      <alignment horizontal="center" vertical="center"/>
    </xf>
    <xf numFmtId="0" fontId="9" fillId="8" borderId="51" xfId="2" applyFont="1" applyFill="1" applyBorder="1" applyAlignment="1">
      <alignment horizontal="center" vertical="center"/>
    </xf>
    <xf numFmtId="0" fontId="9" fillId="8" borderId="22" xfId="2" applyFont="1" applyFill="1" applyBorder="1" applyAlignment="1">
      <alignment horizontal="center" vertical="center"/>
    </xf>
    <xf numFmtId="0" fontId="9" fillId="8" borderId="24" xfId="2" applyFont="1" applyFill="1" applyBorder="1" applyAlignment="1">
      <alignment horizontal="center" vertical="center"/>
    </xf>
    <xf numFmtId="0" fontId="9" fillId="8" borderId="56" xfId="2" applyFont="1" applyFill="1" applyBorder="1" applyAlignment="1">
      <alignment horizontal="center" vertical="center"/>
    </xf>
    <xf numFmtId="0" fontId="2" fillId="4" borderId="32" xfId="2" applyFont="1" applyFill="1" applyBorder="1" applyAlignment="1">
      <alignment horizontal="center" vertical="center"/>
    </xf>
    <xf numFmtId="0" fontId="2" fillId="4" borderId="33" xfId="2" applyFont="1" applyFill="1" applyBorder="1" applyAlignment="1">
      <alignment horizontal="center" vertical="center"/>
    </xf>
    <xf numFmtId="0" fontId="2" fillId="4" borderId="7" xfId="2" applyFont="1" applyFill="1" applyBorder="1" applyAlignment="1">
      <alignment horizontal="left" vertical="top"/>
    </xf>
    <xf numFmtId="0" fontId="2" fillId="4" borderId="49" xfId="2" applyFont="1" applyFill="1" applyBorder="1" applyAlignment="1">
      <alignment horizontal="left" vertical="top"/>
    </xf>
    <xf numFmtId="0" fontId="2" fillId="4" borderId="14" xfId="2" applyFont="1" applyFill="1" applyBorder="1" applyAlignment="1">
      <alignment horizontal="left" vertical="top"/>
    </xf>
    <xf numFmtId="166" fontId="15" fillId="4" borderId="28" xfId="2" applyNumberFormat="1" applyFont="1" applyFill="1" applyBorder="1" applyAlignment="1">
      <alignment horizontal="center" vertical="center" shrinkToFit="1"/>
    </xf>
    <xf numFmtId="166" fontId="15" fillId="4" borderId="29" xfId="2" applyNumberFormat="1" applyFont="1" applyFill="1" applyBorder="1" applyAlignment="1">
      <alignment horizontal="center" vertical="center" shrinkToFit="1"/>
    </xf>
    <xf numFmtId="0" fontId="12" fillId="4" borderId="19" xfId="2" applyFont="1" applyFill="1" applyBorder="1" applyAlignment="1">
      <alignment horizontal="center" vertical="center"/>
    </xf>
    <xf numFmtId="0" fontId="12" fillId="4" borderId="26" xfId="2" applyFont="1" applyFill="1" applyBorder="1" applyAlignment="1">
      <alignment horizontal="center" vertical="center"/>
    </xf>
    <xf numFmtId="0" fontId="6" fillId="4" borderId="68" xfId="2" applyFont="1" applyFill="1" applyBorder="1" applyAlignment="1">
      <alignment horizontal="center" vertical="center" shrinkToFit="1"/>
    </xf>
    <xf numFmtId="0" fontId="0" fillId="0" borderId="18" xfId="0" applyBorder="1" applyAlignment="1"/>
    <xf numFmtId="0" fontId="12" fillId="4" borderId="16" xfId="2" applyFont="1" applyFill="1" applyBorder="1" applyAlignment="1">
      <alignment horizontal="center" vertical="center"/>
    </xf>
    <xf numFmtId="0" fontId="0" fillId="0" borderId="55" xfId="0" applyBorder="1" applyAlignment="1"/>
    <xf numFmtId="0" fontId="0" fillId="0" borderId="42" xfId="0" applyBorder="1" applyAlignment="1"/>
    <xf numFmtId="0" fontId="0" fillId="0" borderId="54" xfId="0" applyBorder="1" applyAlignment="1"/>
    <xf numFmtId="168" fontId="64" fillId="0" borderId="74" xfId="0" applyNumberFormat="1" applyFont="1" applyBorder="1" applyAlignment="1">
      <alignment horizontal="center" shrinkToFit="1"/>
    </xf>
    <xf numFmtId="168" fontId="64" fillId="0" borderId="82" xfId="0" applyNumberFormat="1" applyFont="1" applyBorder="1" applyAlignment="1">
      <alignment horizontal="center" shrinkToFit="1"/>
    </xf>
    <xf numFmtId="0" fontId="66" fillId="0" borderId="75" xfId="0" applyFont="1" applyBorder="1" applyAlignment="1">
      <alignment horizontal="center"/>
    </xf>
    <xf numFmtId="0" fontId="0" fillId="0" borderId="76" xfId="0" applyBorder="1" applyAlignment="1"/>
    <xf numFmtId="0" fontId="0" fillId="0" borderId="77" xfId="0" applyBorder="1" applyAlignment="1"/>
    <xf numFmtId="0" fontId="66" fillId="0" borderId="81" xfId="0" applyFont="1" applyBorder="1" applyAlignment="1">
      <alignment horizontal="center"/>
    </xf>
    <xf numFmtId="0" fontId="0" fillId="0" borderId="20" xfId="0" applyBorder="1" applyAlignment="1"/>
    <xf numFmtId="0" fontId="0" fillId="0" borderId="61" xfId="0" applyBorder="1" applyAlignment="1"/>
    <xf numFmtId="0" fontId="66" fillId="0" borderId="78" xfId="0" applyFont="1" applyBorder="1" applyAlignment="1">
      <alignment horizontal="center"/>
    </xf>
    <xf numFmtId="0" fontId="0" fillId="0" borderId="79" xfId="0" applyBorder="1" applyAlignment="1"/>
    <xf numFmtId="0" fontId="0" fillId="0" borderId="80" xfId="0" applyBorder="1" applyAlignment="1"/>
    <xf numFmtId="0" fontId="11" fillId="5" borderId="17" xfId="2" applyFont="1" applyFill="1" applyBorder="1" applyAlignment="1">
      <alignment horizontal="center" vertical="center"/>
    </xf>
    <xf numFmtId="0" fontId="11" fillId="5" borderId="33" xfId="2" applyFont="1" applyFill="1" applyBorder="1" applyAlignment="1">
      <alignment horizontal="center" vertical="center"/>
    </xf>
    <xf numFmtId="0" fontId="8" fillId="0" borderId="27" xfId="2" applyFont="1" applyBorder="1" applyAlignment="1">
      <alignment horizontal="center"/>
    </xf>
    <xf numFmtId="0" fontId="8" fillId="0" borderId="29" xfId="2" applyFont="1" applyBorder="1" applyAlignment="1">
      <alignment horizontal="center"/>
    </xf>
  </cellXfs>
  <cellStyles count="4">
    <cellStyle name="Lien hypertexte" xfId="1" builtinId="8"/>
    <cellStyle name="Monétaire" xfId="3" builtinId="4"/>
    <cellStyle name="Normal" xfId="0" builtinId="0"/>
    <cellStyle name="Normal 2" xfId="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588010</xdr:colOff>
      <xdr:row>60</xdr:row>
      <xdr:rowOff>82551</xdr:rowOff>
    </xdr:from>
    <xdr:to>
      <xdr:col>1</xdr:col>
      <xdr:colOff>2212975</xdr:colOff>
      <xdr:row>66</xdr:row>
      <xdr:rowOff>142875</xdr:rowOff>
    </xdr:to>
    <xdr:sp macro="" textlink="">
      <xdr:nvSpPr>
        <xdr:cNvPr id="4" name="Text Box 85"/>
        <xdr:cNvSpPr txBox="1">
          <a:spLocks noChangeArrowheads="1"/>
        </xdr:cNvSpPr>
      </xdr:nvSpPr>
      <xdr:spPr bwMode="auto">
        <a:xfrm>
          <a:off x="588010" y="21380451"/>
          <a:ext cx="4977765" cy="2041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Signature et tampon du service payeur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3</xdr:row>
      <xdr:rowOff>167986</xdr:rowOff>
    </xdr:to>
    <xdr:pic>
      <xdr:nvPicPr>
        <xdr:cNvPr id="1054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1581150</xdr:colOff>
      <xdr:row>0</xdr:row>
      <xdr:rowOff>85725</xdr:rowOff>
    </xdr:from>
    <xdr:to>
      <xdr:col>1</xdr:col>
      <xdr:colOff>587375</xdr:colOff>
      <xdr:row>7</xdr:row>
      <xdr:rowOff>271029</xdr:rowOff>
    </xdr:to>
    <xdr:pic>
      <xdr:nvPicPr>
        <xdr:cNvPr id="10542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85725"/>
          <a:ext cx="2362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1219835</xdr:colOff>
      <xdr:row>60</xdr:row>
      <xdr:rowOff>101601</xdr:rowOff>
    </xdr:from>
    <xdr:to>
      <xdr:col>6</xdr:col>
      <xdr:colOff>1933575</xdr:colOff>
      <xdr:row>66</xdr:row>
      <xdr:rowOff>161925</xdr:rowOff>
    </xdr:to>
    <xdr:sp macro="" textlink="">
      <xdr:nvSpPr>
        <xdr:cNvPr id="7" name="Text Box 85"/>
        <xdr:cNvSpPr txBox="1">
          <a:spLocks noChangeArrowheads="1"/>
        </xdr:cNvSpPr>
      </xdr:nvSpPr>
      <xdr:spPr bwMode="auto">
        <a:xfrm>
          <a:off x="9995535" y="21399501"/>
          <a:ext cx="5285740" cy="2041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"Bon pour Accord "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Signature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1615786</xdr:colOff>
      <xdr:row>1</xdr:row>
      <xdr:rowOff>328180</xdr:rowOff>
    </xdr:from>
    <xdr:to>
      <xdr:col>1</xdr:col>
      <xdr:colOff>977611</xdr:colOff>
      <xdr:row>7</xdr:row>
      <xdr:rowOff>80530</xdr:rowOff>
    </xdr:to>
    <xdr:pic>
      <xdr:nvPicPr>
        <xdr:cNvPr id="16426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786" y="726498"/>
          <a:ext cx="2357870" cy="2142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871740</xdr:colOff>
      <xdr:row>60</xdr:row>
      <xdr:rowOff>34637</xdr:rowOff>
    </xdr:from>
    <xdr:to>
      <xdr:col>6</xdr:col>
      <xdr:colOff>2017627</xdr:colOff>
      <xdr:row>66</xdr:row>
      <xdr:rowOff>86591</xdr:rowOff>
    </xdr:to>
    <xdr:sp macro="" textlink="">
      <xdr:nvSpPr>
        <xdr:cNvPr id="2" name="Text Box 85"/>
        <xdr:cNvSpPr txBox="1">
          <a:spLocks noChangeArrowheads="1"/>
        </xdr:cNvSpPr>
      </xdr:nvSpPr>
      <xdr:spPr bwMode="auto">
        <a:xfrm>
          <a:off x="7816331" y="24332046"/>
          <a:ext cx="6306705" cy="19223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Margo HARLEY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DIirectrice  Générale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28574</xdr:colOff>
      <xdr:row>60</xdr:row>
      <xdr:rowOff>17318</xdr:rowOff>
    </xdr:from>
    <xdr:to>
      <xdr:col>2</xdr:col>
      <xdr:colOff>484908</xdr:colOff>
      <xdr:row>66</xdr:row>
      <xdr:rowOff>121227</xdr:rowOff>
    </xdr:to>
    <xdr:sp macro="" textlink="">
      <xdr:nvSpPr>
        <xdr:cNvPr id="3" name="Text Box 128"/>
        <xdr:cNvSpPr txBox="1">
          <a:spLocks noChangeArrowheads="1"/>
        </xdr:cNvSpPr>
      </xdr:nvSpPr>
      <xdr:spPr bwMode="auto">
        <a:xfrm>
          <a:off x="28574" y="24314727"/>
          <a:ext cx="7400925" cy="19742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AURI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Association des Usagers du Restaurant Interministériel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3 et 5, rue Barbet de Jouy   -  75007 PARIS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URSAFF : PARIS 117 000 001500 258 848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SIRET : 784 295 115 00033 APE : 5629 B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IBAN FR76 1820 6000 0400 4909 9300 135  BIC  AGRIFRPP882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306532</xdr:rowOff>
    </xdr:to>
    <xdr:pic>
      <xdr:nvPicPr>
        <xdr:cNvPr id="16425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1103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T80"/>
  <sheetViews>
    <sheetView topLeftCell="M16" workbookViewId="0">
      <selection activeCell="Q45" sqref="Q45"/>
    </sheetView>
  </sheetViews>
  <sheetFormatPr baseColWidth="10" defaultRowHeight="12.75"/>
  <cols>
    <col min="1" max="1" width="53.28515625" bestFit="1" customWidth="1"/>
    <col min="2" max="2" width="51.140625" bestFit="1" customWidth="1"/>
    <col min="3" max="3" width="38" customWidth="1"/>
    <col min="4" max="4" width="32.85546875" customWidth="1"/>
    <col min="5" max="5" width="32.7109375" customWidth="1"/>
    <col min="6" max="6" width="31" customWidth="1"/>
    <col min="7" max="7" width="33.28515625" customWidth="1"/>
    <col min="8" max="8" width="29.85546875" customWidth="1"/>
    <col min="9" max="9" width="28.5703125" bestFit="1" customWidth="1"/>
    <col min="10" max="10" width="27.5703125" bestFit="1" customWidth="1"/>
    <col min="11" max="11" width="53.28515625" customWidth="1"/>
    <col min="12" max="12" width="47.42578125" bestFit="1" customWidth="1"/>
    <col min="13" max="14" width="27.5703125" customWidth="1"/>
    <col min="15" max="15" width="8.7109375" bestFit="1" customWidth="1"/>
    <col min="16" max="16" width="53.28515625" bestFit="1" customWidth="1"/>
    <col min="17" max="18" width="11.42578125" style="27" customWidth="1"/>
    <col min="20" max="20" width="11.42578125" style="27" customWidth="1"/>
  </cols>
  <sheetData>
    <row r="1" spans="1:20" ht="13.5" thickBot="1">
      <c r="A1" s="6"/>
      <c r="B1" s="6" t="s">
        <v>172</v>
      </c>
      <c r="C1" s="6" t="s">
        <v>40</v>
      </c>
      <c r="D1" s="6" t="s">
        <v>62</v>
      </c>
      <c r="E1" s="6" t="s">
        <v>70</v>
      </c>
      <c r="F1" s="6" t="s">
        <v>54</v>
      </c>
      <c r="G1" s="6" t="s">
        <v>57</v>
      </c>
      <c r="H1" s="6" t="s">
        <v>22</v>
      </c>
      <c r="I1" s="6" t="s">
        <v>23</v>
      </c>
      <c r="P1" s="49"/>
      <c r="Q1" s="50" t="s">
        <v>76</v>
      </c>
      <c r="R1" s="50" t="s">
        <v>87</v>
      </c>
      <c r="S1" s="51" t="s">
        <v>77</v>
      </c>
      <c r="T1" s="52" t="s">
        <v>78</v>
      </c>
    </row>
    <row r="2" spans="1:20" ht="13.5" thickBot="1">
      <c r="B2" s="114" t="s">
        <v>173</v>
      </c>
      <c r="C2" s="3" t="s">
        <v>41</v>
      </c>
      <c r="D2" s="3" t="s">
        <v>64</v>
      </c>
      <c r="E2" s="1" t="s">
        <v>91</v>
      </c>
      <c r="F2" s="1" t="s">
        <v>170</v>
      </c>
      <c r="G2" s="1" t="s">
        <v>88</v>
      </c>
      <c r="H2" s="3" t="s">
        <v>101</v>
      </c>
      <c r="I2" s="1" t="s">
        <v>74</v>
      </c>
      <c r="J2" s="3"/>
      <c r="K2" s="3"/>
      <c r="L2" s="3"/>
      <c r="M2" s="3"/>
      <c r="P2" s="3" t="s">
        <v>208</v>
      </c>
      <c r="Q2" s="53">
        <v>35</v>
      </c>
      <c r="R2" s="54">
        <v>2</v>
      </c>
      <c r="S2" s="55">
        <v>0.2</v>
      </c>
      <c r="T2" s="56">
        <f>+Q2*(1+S2)</f>
        <v>42</v>
      </c>
    </row>
    <row r="3" spans="1:20" ht="13.5" thickBot="1">
      <c r="A3" s="3"/>
      <c r="B3" s="114" t="s">
        <v>174</v>
      </c>
      <c r="C3" s="3" t="s">
        <v>42</v>
      </c>
      <c r="D3" s="3" t="s">
        <v>65</v>
      </c>
      <c r="E3" s="1" t="s">
        <v>92</v>
      </c>
      <c r="F3" s="1" t="s">
        <v>175</v>
      </c>
      <c r="G3" s="33" t="s">
        <v>89</v>
      </c>
      <c r="H3" s="18" t="s">
        <v>102</v>
      </c>
      <c r="I3" s="3" t="s">
        <v>211</v>
      </c>
      <c r="P3" s="2"/>
      <c r="Q3" s="53"/>
      <c r="R3" s="54"/>
      <c r="S3" s="55"/>
      <c r="T3" s="56"/>
    </row>
    <row r="4" spans="1:20" ht="13.5" thickBot="1">
      <c r="A4" s="3"/>
      <c r="C4" s="10" t="s">
        <v>187</v>
      </c>
      <c r="D4" s="3" t="s">
        <v>66</v>
      </c>
      <c r="E4" s="1" t="s">
        <v>93</v>
      </c>
      <c r="G4" s="33" t="s">
        <v>184</v>
      </c>
      <c r="H4" s="18" t="s">
        <v>103</v>
      </c>
      <c r="I4" s="29" t="s">
        <v>212</v>
      </c>
      <c r="P4" s="2" t="s">
        <v>35</v>
      </c>
      <c r="Q4" s="53">
        <v>35</v>
      </c>
      <c r="R4" s="54">
        <v>2</v>
      </c>
      <c r="S4" s="55">
        <v>0.2</v>
      </c>
      <c r="T4" s="56">
        <f t="shared" ref="T4:T79" si="0">+Q4*(1+S4)</f>
        <v>42</v>
      </c>
    </row>
    <row r="5" spans="1:20" ht="13.5" thickBot="1">
      <c r="B5" s="14"/>
      <c r="C5" s="3" t="s">
        <v>210</v>
      </c>
      <c r="D5" s="3" t="s">
        <v>63</v>
      </c>
      <c r="E5" s="1" t="s">
        <v>94</v>
      </c>
      <c r="F5" s="3"/>
      <c r="G5" s="3" t="s">
        <v>90</v>
      </c>
      <c r="H5" s="10" t="s">
        <v>106</v>
      </c>
      <c r="I5" s="3" t="s">
        <v>3</v>
      </c>
      <c r="P5" s="2" t="s">
        <v>36</v>
      </c>
      <c r="Q5" s="53">
        <v>48</v>
      </c>
      <c r="R5" s="54">
        <v>2</v>
      </c>
      <c r="S5" s="57">
        <v>0.2</v>
      </c>
      <c r="T5" s="56">
        <f t="shared" si="0"/>
        <v>57.599999999999994</v>
      </c>
    </row>
    <row r="6" spans="1:20" ht="37.5" customHeight="1" thickBot="1">
      <c r="B6" s="14"/>
      <c r="C6" s="3" t="s">
        <v>108</v>
      </c>
      <c r="D6" s="3" t="s">
        <v>67</v>
      </c>
      <c r="E6" s="1" t="s">
        <v>95</v>
      </c>
      <c r="F6" s="3"/>
      <c r="G6" s="3" t="s">
        <v>58</v>
      </c>
      <c r="H6" s="3" t="s">
        <v>105</v>
      </c>
      <c r="I6" s="3"/>
      <c r="P6" s="2" t="s">
        <v>37</v>
      </c>
      <c r="Q6" s="53">
        <v>0</v>
      </c>
      <c r="R6" s="54">
        <v>0</v>
      </c>
      <c r="S6" s="57">
        <v>0</v>
      </c>
      <c r="T6" s="56">
        <f t="shared" si="0"/>
        <v>0</v>
      </c>
    </row>
    <row r="7" spans="1:20" ht="39" customHeight="1">
      <c r="B7" s="10"/>
      <c r="C7" s="10" t="s">
        <v>110</v>
      </c>
      <c r="D7" s="3" t="s">
        <v>68</v>
      </c>
      <c r="E7" s="1" t="s">
        <v>96</v>
      </c>
      <c r="F7" s="3"/>
      <c r="G7" s="24" t="s">
        <v>69</v>
      </c>
      <c r="H7" s="3" t="s">
        <v>104</v>
      </c>
      <c r="I7" s="3"/>
      <c r="L7" s="5"/>
      <c r="P7" s="114">
        <v>0</v>
      </c>
      <c r="Q7" s="53">
        <v>0</v>
      </c>
      <c r="R7" s="54">
        <v>0</v>
      </c>
      <c r="S7" s="57">
        <v>0</v>
      </c>
      <c r="T7" s="56">
        <v>0</v>
      </c>
    </row>
    <row r="8" spans="1:20" ht="39" customHeight="1">
      <c r="B8" s="10"/>
      <c r="C8" s="10" t="s">
        <v>109</v>
      </c>
      <c r="E8" s="3" t="s">
        <v>97</v>
      </c>
      <c r="F8" s="12"/>
      <c r="G8" s="29" t="s">
        <v>169</v>
      </c>
      <c r="H8" s="3" t="s">
        <v>14</v>
      </c>
      <c r="L8" s="10"/>
      <c r="P8" s="114" t="s">
        <v>173</v>
      </c>
      <c r="Q8" s="53">
        <v>15</v>
      </c>
      <c r="R8" s="54">
        <v>1</v>
      </c>
      <c r="S8" s="57">
        <v>0.1</v>
      </c>
      <c r="T8" s="56">
        <f t="shared" si="0"/>
        <v>16.5</v>
      </c>
    </row>
    <row r="9" spans="1:20">
      <c r="B9" s="5"/>
      <c r="C9" s="10" t="s">
        <v>111</v>
      </c>
      <c r="D9" s="23"/>
      <c r="E9" s="3" t="s">
        <v>115</v>
      </c>
      <c r="F9" s="5"/>
      <c r="L9" s="10"/>
      <c r="P9" s="114" t="s">
        <v>174</v>
      </c>
      <c r="Q9" s="53">
        <v>15.5</v>
      </c>
      <c r="R9" s="54">
        <v>1</v>
      </c>
      <c r="S9" s="57">
        <v>0.1</v>
      </c>
      <c r="T9" s="56">
        <f t="shared" si="0"/>
        <v>17.05</v>
      </c>
    </row>
    <row r="10" spans="1:20">
      <c r="B10" s="5"/>
      <c r="C10" s="10" t="s">
        <v>209</v>
      </c>
      <c r="D10" s="5"/>
      <c r="E10" s="3" t="s">
        <v>116</v>
      </c>
      <c r="F10" s="19"/>
      <c r="G10" s="22"/>
      <c r="H10" s="3"/>
      <c r="P10" s="2" t="s">
        <v>141</v>
      </c>
      <c r="Q10" s="3">
        <v>0</v>
      </c>
      <c r="R10" s="3">
        <v>0</v>
      </c>
      <c r="S10" s="3">
        <v>0</v>
      </c>
      <c r="T10" s="58">
        <v>0</v>
      </c>
    </row>
    <row r="11" spans="1:20">
      <c r="B11" s="5"/>
      <c r="C11" s="10" t="s">
        <v>112</v>
      </c>
      <c r="D11" s="5"/>
      <c r="E11" s="3" t="s">
        <v>98</v>
      </c>
      <c r="F11" s="19"/>
      <c r="H11" s="3"/>
      <c r="P11" s="59" t="s">
        <v>143</v>
      </c>
      <c r="Q11" s="60">
        <v>70</v>
      </c>
      <c r="R11" s="61">
        <v>2</v>
      </c>
      <c r="S11" s="57">
        <v>0.2</v>
      </c>
      <c r="T11" s="56">
        <f t="shared" si="0"/>
        <v>84</v>
      </c>
    </row>
    <row r="12" spans="1:20">
      <c r="B12" s="10"/>
      <c r="C12" s="10" t="s">
        <v>113</v>
      </c>
      <c r="D12" s="17"/>
      <c r="E12" s="3" t="s">
        <v>99</v>
      </c>
      <c r="F12" s="19"/>
      <c r="H12" s="3"/>
      <c r="P12" s="2" t="s">
        <v>142</v>
      </c>
      <c r="Q12" s="3">
        <v>70</v>
      </c>
      <c r="R12" s="3">
        <v>2</v>
      </c>
      <c r="S12" s="48">
        <v>0.2</v>
      </c>
      <c r="T12" s="56">
        <f t="shared" si="0"/>
        <v>84</v>
      </c>
    </row>
    <row r="13" spans="1:20">
      <c r="B13" s="10"/>
      <c r="C13" s="10" t="s">
        <v>114</v>
      </c>
      <c r="D13" s="17"/>
      <c r="E13" s="3" t="s">
        <v>100</v>
      </c>
      <c r="H13" s="3"/>
      <c r="N13" s="20" t="s">
        <v>177</v>
      </c>
      <c r="P13" s="2" t="s">
        <v>145</v>
      </c>
      <c r="Q13" s="3">
        <v>70</v>
      </c>
      <c r="R13" s="3">
        <v>2</v>
      </c>
      <c r="S13" s="48">
        <v>0.2</v>
      </c>
      <c r="T13" s="56">
        <f t="shared" si="0"/>
        <v>84</v>
      </c>
    </row>
    <row r="14" spans="1:20">
      <c r="B14" s="10"/>
      <c r="C14" s="15" t="s">
        <v>44</v>
      </c>
      <c r="D14" s="17"/>
      <c r="H14" s="3"/>
      <c r="N14" s="20" t="s">
        <v>178</v>
      </c>
      <c r="P14" s="2" t="s">
        <v>39</v>
      </c>
      <c r="Q14" s="53">
        <v>1.6</v>
      </c>
      <c r="R14" s="54">
        <v>1</v>
      </c>
      <c r="S14" s="57">
        <v>0.1</v>
      </c>
      <c r="T14" s="56">
        <f t="shared" si="0"/>
        <v>1.7600000000000002</v>
      </c>
    </row>
    <row r="15" spans="1:20">
      <c r="B15" s="10"/>
      <c r="C15" s="10" t="s">
        <v>45</v>
      </c>
      <c r="E15" s="3"/>
      <c r="H15" s="3"/>
      <c r="N15" s="118" t="s">
        <v>181</v>
      </c>
      <c r="P15" s="2" t="s">
        <v>38</v>
      </c>
      <c r="Q15" s="53">
        <v>4.2</v>
      </c>
      <c r="R15" s="54">
        <v>1</v>
      </c>
      <c r="S15" s="57">
        <v>0.1</v>
      </c>
      <c r="T15" s="56">
        <f t="shared" si="0"/>
        <v>4.620000000000001</v>
      </c>
    </row>
    <row r="16" spans="1:20" ht="27" customHeight="1">
      <c r="B16" s="10"/>
      <c r="C16" s="5" t="s">
        <v>46</v>
      </c>
      <c r="G16" s="17"/>
      <c r="H16" s="23"/>
      <c r="N16" s="118" t="s">
        <v>180</v>
      </c>
      <c r="P16" s="2" t="s">
        <v>41</v>
      </c>
      <c r="Q16" s="53">
        <f>48*0.99</f>
        <v>47.519999999999996</v>
      </c>
      <c r="R16" s="54">
        <v>1</v>
      </c>
      <c r="S16" s="57">
        <v>0.1</v>
      </c>
      <c r="T16" s="56">
        <f t="shared" si="0"/>
        <v>52.271999999999998</v>
      </c>
    </row>
    <row r="17" spans="3:20">
      <c r="C17" s="5" t="s">
        <v>47</v>
      </c>
      <c r="E17" s="17"/>
      <c r="F17" s="19"/>
      <c r="G17" s="17"/>
      <c r="H17" s="5"/>
      <c r="P17" s="2" t="s">
        <v>42</v>
      </c>
      <c r="Q17" s="53">
        <f>56*0.99</f>
        <v>55.44</v>
      </c>
      <c r="R17" s="54">
        <v>1</v>
      </c>
      <c r="S17" s="57">
        <v>0.1</v>
      </c>
      <c r="T17" s="56">
        <f t="shared" si="0"/>
        <v>60.984000000000002</v>
      </c>
    </row>
    <row r="18" spans="3:20">
      <c r="C18" s="5" t="s">
        <v>48</v>
      </c>
      <c r="E18" s="17"/>
      <c r="F18" s="19"/>
      <c r="G18" s="33" t="s">
        <v>184</v>
      </c>
      <c r="H18" s="5"/>
      <c r="N18" s="20"/>
      <c r="P18" s="3" t="s">
        <v>210</v>
      </c>
      <c r="Q18" s="53">
        <v>13.2</v>
      </c>
      <c r="R18" s="54">
        <v>1</v>
      </c>
      <c r="S18" s="57">
        <v>0.1</v>
      </c>
      <c r="T18" s="56">
        <f t="shared" si="0"/>
        <v>14.52</v>
      </c>
    </row>
    <row r="19" spans="3:20">
      <c r="C19" s="10" t="s">
        <v>49</v>
      </c>
      <c r="F19" s="19"/>
      <c r="G19" s="3" t="s">
        <v>58</v>
      </c>
      <c r="H19" s="5"/>
      <c r="K19" s="6" t="s">
        <v>144</v>
      </c>
      <c r="L19" s="6" t="s">
        <v>81</v>
      </c>
      <c r="P19" s="2" t="s">
        <v>108</v>
      </c>
      <c r="Q19" s="53">
        <v>0.9</v>
      </c>
      <c r="R19" s="54">
        <v>1</v>
      </c>
      <c r="S19" s="57">
        <v>0.1</v>
      </c>
      <c r="T19" s="56">
        <f t="shared" si="0"/>
        <v>0.9900000000000001</v>
      </c>
    </row>
    <row r="20" spans="3:20">
      <c r="C20" s="10" t="s">
        <v>50</v>
      </c>
      <c r="F20" s="5"/>
      <c r="G20" s="24" t="s">
        <v>69</v>
      </c>
      <c r="H20" s="5"/>
      <c r="K20" s="3"/>
      <c r="L20" s="3"/>
      <c r="P20" s="62" t="s">
        <v>110</v>
      </c>
      <c r="Q20" s="53">
        <v>0.9</v>
      </c>
      <c r="R20" s="54">
        <v>1</v>
      </c>
      <c r="S20" s="57">
        <v>0.1</v>
      </c>
      <c r="T20" s="56">
        <f t="shared" si="0"/>
        <v>0.9900000000000001</v>
      </c>
    </row>
    <row r="21" spans="3:20">
      <c r="C21" s="10" t="s">
        <v>53</v>
      </c>
      <c r="F21" s="5"/>
      <c r="H21" s="5"/>
      <c r="K21" s="3" t="s">
        <v>141</v>
      </c>
      <c r="L21" s="3" t="s">
        <v>208</v>
      </c>
      <c r="P21" s="62" t="s">
        <v>109</v>
      </c>
      <c r="Q21" s="53">
        <v>0.9</v>
      </c>
      <c r="R21" s="54">
        <v>1</v>
      </c>
      <c r="S21" s="57">
        <v>0.1</v>
      </c>
      <c r="T21" s="56">
        <f t="shared" si="0"/>
        <v>0.9900000000000001</v>
      </c>
    </row>
    <row r="22" spans="3:20">
      <c r="C22" s="10" t="s">
        <v>217</v>
      </c>
      <c r="F22" s="5"/>
      <c r="H22" s="5"/>
      <c r="K22" t="s">
        <v>143</v>
      </c>
      <c r="L22" s="3" t="s">
        <v>35</v>
      </c>
      <c r="P22" s="62" t="s">
        <v>111</v>
      </c>
      <c r="Q22" s="53">
        <v>0.9</v>
      </c>
      <c r="R22" s="54">
        <v>1</v>
      </c>
      <c r="S22" s="57">
        <v>0.1</v>
      </c>
      <c r="T22" s="56">
        <f t="shared" si="0"/>
        <v>0.9900000000000001</v>
      </c>
    </row>
    <row r="23" spans="3:20" ht="13.5" thickBot="1">
      <c r="H23" s="5"/>
      <c r="K23" s="3" t="s">
        <v>142</v>
      </c>
      <c r="L23" s="3" t="s">
        <v>36</v>
      </c>
      <c r="P23" s="10" t="s">
        <v>209</v>
      </c>
      <c r="Q23" s="53">
        <v>0.7</v>
      </c>
      <c r="R23" s="54">
        <v>1</v>
      </c>
      <c r="S23" s="57">
        <v>0.1</v>
      </c>
      <c r="T23" s="56">
        <f t="shared" si="0"/>
        <v>0.77</v>
      </c>
    </row>
    <row r="24" spans="3:20" ht="13.5" thickBot="1">
      <c r="H24" s="5"/>
      <c r="K24" s="3" t="s">
        <v>145</v>
      </c>
      <c r="L24" s="5" t="s">
        <v>37</v>
      </c>
      <c r="N24" s="13" t="s">
        <v>5</v>
      </c>
      <c r="P24" s="62" t="s">
        <v>112</v>
      </c>
      <c r="Q24" s="53">
        <v>0.7</v>
      </c>
      <c r="R24" s="54">
        <v>1</v>
      </c>
      <c r="S24" s="57">
        <v>0.1</v>
      </c>
      <c r="T24" s="56">
        <f t="shared" si="0"/>
        <v>0.77</v>
      </c>
    </row>
    <row r="25" spans="3:20">
      <c r="E25" s="5"/>
      <c r="H25" s="5"/>
      <c r="N25" s="2" t="s">
        <v>183</v>
      </c>
      <c r="P25" s="62" t="s">
        <v>113</v>
      </c>
      <c r="Q25" s="53">
        <v>0.7</v>
      </c>
      <c r="R25" s="54">
        <v>1</v>
      </c>
      <c r="S25" s="57">
        <v>0.1</v>
      </c>
      <c r="T25" s="56">
        <f t="shared" si="0"/>
        <v>0.77</v>
      </c>
    </row>
    <row r="26" spans="3:20">
      <c r="E26" s="19"/>
      <c r="H26" s="5"/>
      <c r="N26" s="21" t="s">
        <v>168</v>
      </c>
      <c r="P26" s="62" t="s">
        <v>114</v>
      </c>
      <c r="Q26" s="53">
        <v>0.7</v>
      </c>
      <c r="R26" s="54">
        <v>1</v>
      </c>
      <c r="S26" s="57">
        <v>0.1</v>
      </c>
      <c r="T26" s="56">
        <f t="shared" si="0"/>
        <v>0.77</v>
      </c>
    </row>
    <row r="27" spans="3:20">
      <c r="E27" s="19"/>
      <c r="H27" s="5"/>
      <c r="N27" s="21" t="s">
        <v>24</v>
      </c>
      <c r="P27" s="2" t="s">
        <v>43</v>
      </c>
      <c r="Q27" s="53">
        <v>0.7</v>
      </c>
      <c r="R27" s="54">
        <v>1</v>
      </c>
      <c r="S27" s="57">
        <v>0.1</v>
      </c>
      <c r="T27" s="56">
        <f t="shared" si="0"/>
        <v>0.77</v>
      </c>
    </row>
    <row r="28" spans="3:20">
      <c r="E28" s="19"/>
      <c r="H28" s="5"/>
      <c r="N28" s="21" t="s">
        <v>25</v>
      </c>
      <c r="P28" s="62" t="s">
        <v>44</v>
      </c>
      <c r="Q28" s="53">
        <v>6</v>
      </c>
      <c r="R28" s="54">
        <v>1</v>
      </c>
      <c r="S28" s="57">
        <v>0.1</v>
      </c>
      <c r="T28" s="56">
        <f t="shared" si="0"/>
        <v>6.6000000000000005</v>
      </c>
    </row>
    <row r="29" spans="3:20">
      <c r="E29" s="5"/>
      <c r="G29" s="5"/>
      <c r="H29" s="5"/>
      <c r="N29" s="9" t="s">
        <v>26</v>
      </c>
      <c r="P29" s="62" t="s">
        <v>45</v>
      </c>
      <c r="Q29" s="53">
        <v>26.4</v>
      </c>
      <c r="R29" s="54">
        <v>1</v>
      </c>
      <c r="S29" s="57">
        <v>0.1</v>
      </c>
      <c r="T29" s="56">
        <f t="shared" si="0"/>
        <v>29.04</v>
      </c>
    </row>
    <row r="30" spans="3:20">
      <c r="E30" s="5"/>
      <c r="G30" s="5"/>
      <c r="H30" s="5"/>
      <c r="N30" s="9" t="s">
        <v>27</v>
      </c>
      <c r="P30" s="2" t="s">
        <v>46</v>
      </c>
      <c r="Q30" s="53">
        <v>17.55</v>
      </c>
      <c r="R30" s="54">
        <v>1</v>
      </c>
      <c r="S30" s="57">
        <v>0.1</v>
      </c>
      <c r="T30" s="56">
        <f t="shared" si="0"/>
        <v>19.305000000000003</v>
      </c>
    </row>
    <row r="31" spans="3:20">
      <c r="E31" s="5"/>
      <c r="G31" s="5"/>
      <c r="H31" s="5"/>
      <c r="N31" s="9" t="s">
        <v>28</v>
      </c>
      <c r="P31" s="2" t="s">
        <v>47</v>
      </c>
      <c r="Q31" s="53">
        <v>0.85</v>
      </c>
      <c r="R31" s="54">
        <v>1</v>
      </c>
      <c r="S31" s="57">
        <v>0.1</v>
      </c>
      <c r="T31" s="56">
        <f t="shared" si="0"/>
        <v>0.93500000000000005</v>
      </c>
    </row>
    <row r="32" spans="3:20">
      <c r="E32" s="5"/>
      <c r="G32" s="5"/>
      <c r="H32" s="5"/>
      <c r="N32" s="25" t="s">
        <v>207</v>
      </c>
      <c r="P32" s="2" t="s">
        <v>79</v>
      </c>
      <c r="Q32" s="53">
        <v>40</v>
      </c>
      <c r="R32" s="54">
        <v>1</v>
      </c>
      <c r="S32" s="57">
        <v>0.1</v>
      </c>
      <c r="T32" s="56">
        <f t="shared" si="0"/>
        <v>44</v>
      </c>
    </row>
    <row r="33" spans="5:20">
      <c r="E33" s="5"/>
      <c r="G33" s="5"/>
      <c r="H33" s="5"/>
      <c r="N33" s="25" t="s">
        <v>206</v>
      </c>
      <c r="P33" s="62" t="s">
        <v>49</v>
      </c>
      <c r="Q33" s="53">
        <v>36</v>
      </c>
      <c r="R33" s="54">
        <v>1</v>
      </c>
      <c r="S33" s="57">
        <v>0.1</v>
      </c>
      <c r="T33" s="56">
        <f t="shared" si="0"/>
        <v>39.6</v>
      </c>
    </row>
    <row r="34" spans="5:20">
      <c r="E34" s="5"/>
      <c r="G34" s="5"/>
      <c r="H34" s="5"/>
      <c r="N34" s="8" t="s">
        <v>29</v>
      </c>
      <c r="P34" s="62" t="s">
        <v>50</v>
      </c>
      <c r="Q34" s="53">
        <v>1.5</v>
      </c>
      <c r="R34" s="54">
        <v>1</v>
      </c>
      <c r="S34" s="57">
        <v>0.1</v>
      </c>
      <c r="T34" s="56">
        <f t="shared" si="0"/>
        <v>1.6500000000000001</v>
      </c>
    </row>
    <row r="35" spans="5:20">
      <c r="E35" s="5"/>
      <c r="G35" s="5"/>
      <c r="H35" s="5"/>
      <c r="N35" s="8" t="s">
        <v>30</v>
      </c>
      <c r="P35" s="62" t="s">
        <v>51</v>
      </c>
      <c r="Q35" s="53">
        <v>1.8</v>
      </c>
      <c r="R35" s="54">
        <v>1</v>
      </c>
      <c r="S35" s="57">
        <v>0.1</v>
      </c>
      <c r="T35" s="56">
        <f t="shared" si="0"/>
        <v>1.9800000000000002</v>
      </c>
    </row>
    <row r="36" spans="5:20">
      <c r="E36" s="5"/>
      <c r="G36" s="5"/>
      <c r="H36" s="5"/>
      <c r="N36" s="8" t="s">
        <v>31</v>
      </c>
      <c r="P36" s="62" t="s">
        <v>52</v>
      </c>
      <c r="Q36" s="53">
        <v>24.7</v>
      </c>
      <c r="R36" s="54">
        <v>1</v>
      </c>
      <c r="S36" s="57">
        <v>0.1</v>
      </c>
      <c r="T36" s="56">
        <f t="shared" si="0"/>
        <v>27.17</v>
      </c>
    </row>
    <row r="37" spans="5:20">
      <c r="E37" s="5"/>
      <c r="G37" s="5"/>
      <c r="N37" s="8" t="s">
        <v>32</v>
      </c>
      <c r="P37" s="62" t="s">
        <v>53</v>
      </c>
      <c r="Q37" s="53">
        <v>17.489999999999998</v>
      </c>
      <c r="R37" s="54">
        <v>1</v>
      </c>
      <c r="S37" s="57">
        <v>0.1</v>
      </c>
      <c r="T37" s="56">
        <f t="shared" si="0"/>
        <v>19.239000000000001</v>
      </c>
    </row>
    <row r="38" spans="5:20">
      <c r="G38" s="5"/>
      <c r="N38" s="8" t="s">
        <v>33</v>
      </c>
      <c r="P38" s="2" t="s">
        <v>64</v>
      </c>
      <c r="Q38" s="53">
        <v>2.5499999999999998</v>
      </c>
      <c r="R38" s="54">
        <v>1</v>
      </c>
      <c r="S38" s="57">
        <v>0.1</v>
      </c>
      <c r="T38" s="56">
        <f t="shared" si="0"/>
        <v>2.8050000000000002</v>
      </c>
    </row>
    <row r="39" spans="5:20">
      <c r="N39" s="25" t="s">
        <v>34</v>
      </c>
      <c r="P39" s="2" t="s">
        <v>65</v>
      </c>
      <c r="Q39" s="53">
        <v>3.5</v>
      </c>
      <c r="R39" s="54">
        <v>1</v>
      </c>
      <c r="S39" s="57">
        <v>0.1</v>
      </c>
      <c r="T39" s="56">
        <f t="shared" si="0"/>
        <v>3.8500000000000005</v>
      </c>
    </row>
    <row r="40" spans="5:20">
      <c r="N40" s="25" t="s">
        <v>83</v>
      </c>
      <c r="P40" s="2" t="s">
        <v>66</v>
      </c>
      <c r="Q40" s="53">
        <v>3.5</v>
      </c>
      <c r="R40" s="54">
        <v>1</v>
      </c>
      <c r="S40" s="57">
        <v>0.1</v>
      </c>
      <c r="T40" s="56">
        <f t="shared" si="0"/>
        <v>3.8500000000000005</v>
      </c>
    </row>
    <row r="41" spans="5:20" ht="13.5" thickBot="1">
      <c r="P41" s="2" t="s">
        <v>63</v>
      </c>
      <c r="Q41" s="53">
        <v>3.5</v>
      </c>
      <c r="R41" s="54">
        <v>1</v>
      </c>
      <c r="S41" s="57">
        <v>0.1</v>
      </c>
      <c r="T41" s="56">
        <f t="shared" si="0"/>
        <v>3.8500000000000005</v>
      </c>
    </row>
    <row r="42" spans="5:20" ht="13.5" thickBot="1">
      <c r="N42" s="7" t="s">
        <v>7</v>
      </c>
      <c r="P42" s="2" t="s">
        <v>67</v>
      </c>
      <c r="Q42" s="53">
        <v>4</v>
      </c>
      <c r="R42" s="54">
        <v>1</v>
      </c>
      <c r="S42" s="57">
        <v>0.1</v>
      </c>
      <c r="T42" s="56">
        <f t="shared" si="0"/>
        <v>4.4000000000000004</v>
      </c>
    </row>
    <row r="43" spans="5:20">
      <c r="N43" t="s">
        <v>8</v>
      </c>
      <c r="P43" s="2" t="s">
        <v>68</v>
      </c>
      <c r="Q43" s="53">
        <v>4</v>
      </c>
      <c r="R43" s="54">
        <v>1</v>
      </c>
      <c r="S43" s="57">
        <v>0.1</v>
      </c>
      <c r="T43" s="56">
        <f t="shared" si="0"/>
        <v>4.4000000000000004</v>
      </c>
    </row>
    <row r="44" spans="5:20">
      <c r="N44" t="s">
        <v>9</v>
      </c>
      <c r="P44" s="10" t="s">
        <v>217</v>
      </c>
      <c r="Q44" s="53">
        <v>1.9</v>
      </c>
      <c r="R44" s="54">
        <v>1</v>
      </c>
      <c r="S44" s="57">
        <v>0.1</v>
      </c>
      <c r="T44" s="56">
        <f t="shared" ref="T44" si="1">+Q44*(1+S44)</f>
        <v>2.09</v>
      </c>
    </row>
    <row r="45" spans="5:20" ht="13.5" thickBot="1">
      <c r="N45" t="s">
        <v>13</v>
      </c>
      <c r="P45" s="10" t="s">
        <v>187</v>
      </c>
      <c r="Q45" s="64">
        <v>3</v>
      </c>
      <c r="R45" s="65">
        <v>1</v>
      </c>
      <c r="S45" s="66">
        <v>0.1</v>
      </c>
      <c r="T45" s="67">
        <f>+Q45*(1+S45)</f>
        <v>3.3000000000000003</v>
      </c>
    </row>
    <row r="46" spans="5:20">
      <c r="N46" t="s">
        <v>10</v>
      </c>
      <c r="P46" s="2" t="s">
        <v>91</v>
      </c>
      <c r="Q46" s="3">
        <v>23.4</v>
      </c>
      <c r="R46" s="54">
        <v>1</v>
      </c>
      <c r="S46" s="57">
        <v>0.1</v>
      </c>
      <c r="T46" s="56">
        <f t="shared" ref="T46:T57" si="2">+Q46*(1+S46)</f>
        <v>25.740000000000002</v>
      </c>
    </row>
    <row r="47" spans="5:20" ht="13.5" thickBot="1">
      <c r="P47" s="2" t="s">
        <v>92</v>
      </c>
      <c r="Q47" s="3">
        <v>23.4</v>
      </c>
      <c r="R47" s="54">
        <v>1</v>
      </c>
      <c r="S47" s="57">
        <v>0.1</v>
      </c>
      <c r="T47" s="56">
        <f t="shared" si="2"/>
        <v>25.740000000000002</v>
      </c>
    </row>
    <row r="48" spans="5:20" ht="13.5" thickBot="1">
      <c r="N48" s="7" t="s">
        <v>21</v>
      </c>
      <c r="P48" s="2" t="s">
        <v>93</v>
      </c>
      <c r="Q48" s="3">
        <v>23.4</v>
      </c>
      <c r="R48" s="54">
        <v>1</v>
      </c>
      <c r="S48" s="57">
        <v>0.1</v>
      </c>
      <c r="T48" s="56">
        <f t="shared" si="2"/>
        <v>25.740000000000002</v>
      </c>
    </row>
    <row r="49" spans="14:20">
      <c r="N49" s="20" t="s">
        <v>15</v>
      </c>
      <c r="P49" s="2" t="s">
        <v>94</v>
      </c>
      <c r="Q49" s="3">
        <v>4.0999999999999996</v>
      </c>
      <c r="R49" s="54">
        <v>1</v>
      </c>
      <c r="S49" s="57">
        <v>0.1</v>
      </c>
      <c r="T49" s="56">
        <f t="shared" si="2"/>
        <v>4.51</v>
      </c>
    </row>
    <row r="50" spans="14:20">
      <c r="N50" s="20" t="s">
        <v>16</v>
      </c>
      <c r="P50" s="2" t="s">
        <v>95</v>
      </c>
      <c r="Q50" s="3">
        <v>4.0999999999999996</v>
      </c>
      <c r="R50" s="54">
        <v>1</v>
      </c>
      <c r="S50" s="57">
        <v>0.1</v>
      </c>
      <c r="T50" s="56">
        <f t="shared" si="2"/>
        <v>4.51</v>
      </c>
    </row>
    <row r="51" spans="14:20">
      <c r="N51" s="20" t="s">
        <v>18</v>
      </c>
      <c r="P51" s="2" t="s">
        <v>96</v>
      </c>
      <c r="Q51" s="3">
        <v>4.0999999999999996</v>
      </c>
      <c r="R51" s="54">
        <v>1</v>
      </c>
      <c r="S51" s="57">
        <v>0.1</v>
      </c>
      <c r="T51" s="56">
        <f t="shared" si="2"/>
        <v>4.51</v>
      </c>
    </row>
    <row r="52" spans="14:20">
      <c r="N52" s="20" t="s">
        <v>19</v>
      </c>
      <c r="P52" s="2" t="s">
        <v>97</v>
      </c>
      <c r="Q52" s="3">
        <v>3.9</v>
      </c>
      <c r="R52" s="54">
        <v>1</v>
      </c>
      <c r="S52" s="57">
        <v>0.1</v>
      </c>
      <c r="T52" s="56">
        <f t="shared" si="2"/>
        <v>4.29</v>
      </c>
    </row>
    <row r="53" spans="14:20">
      <c r="N53" s="20" t="s">
        <v>17</v>
      </c>
      <c r="P53" s="2" t="s">
        <v>115</v>
      </c>
      <c r="Q53" s="3">
        <v>3.9</v>
      </c>
      <c r="R53" s="54">
        <v>1</v>
      </c>
      <c r="S53" s="57">
        <v>0.1</v>
      </c>
      <c r="T53" s="56">
        <f t="shared" si="2"/>
        <v>4.29</v>
      </c>
    </row>
    <row r="54" spans="14:20">
      <c r="P54" s="2" t="s">
        <v>117</v>
      </c>
      <c r="Q54" s="3">
        <v>3.9</v>
      </c>
      <c r="R54" s="54">
        <v>1</v>
      </c>
      <c r="S54" s="57">
        <v>0.1</v>
      </c>
      <c r="T54" s="56">
        <f t="shared" si="2"/>
        <v>4.29</v>
      </c>
    </row>
    <row r="55" spans="14:20">
      <c r="P55" s="2" t="s">
        <v>98</v>
      </c>
      <c r="Q55" s="3">
        <v>23.4</v>
      </c>
      <c r="R55" s="54">
        <v>1</v>
      </c>
      <c r="S55" s="57">
        <v>0.1</v>
      </c>
      <c r="T55" s="56">
        <f t="shared" si="2"/>
        <v>25.740000000000002</v>
      </c>
    </row>
    <row r="56" spans="14:20">
      <c r="P56" s="2" t="s">
        <v>99</v>
      </c>
      <c r="Q56" s="3">
        <v>23.4</v>
      </c>
      <c r="R56" s="54">
        <v>1</v>
      </c>
      <c r="S56" s="57">
        <v>0.1</v>
      </c>
      <c r="T56" s="56">
        <f t="shared" si="2"/>
        <v>25.740000000000002</v>
      </c>
    </row>
    <row r="57" spans="14:20">
      <c r="P57" s="2" t="s">
        <v>100</v>
      </c>
      <c r="Q57" s="3">
        <v>23.4</v>
      </c>
      <c r="R57" s="54">
        <v>1</v>
      </c>
      <c r="S57" s="57">
        <v>0.1</v>
      </c>
      <c r="T57" s="56">
        <f t="shared" si="2"/>
        <v>25.740000000000002</v>
      </c>
    </row>
    <row r="58" spans="14:20">
      <c r="P58" s="2" t="s">
        <v>71</v>
      </c>
      <c r="Q58" s="53">
        <v>4.0999999999999996</v>
      </c>
      <c r="R58" s="54">
        <v>1</v>
      </c>
      <c r="S58" s="57">
        <v>0.1</v>
      </c>
      <c r="T58" s="56">
        <f t="shared" si="0"/>
        <v>4.51</v>
      </c>
    </row>
    <row r="59" spans="14:20">
      <c r="P59" s="2" t="s">
        <v>72</v>
      </c>
      <c r="Q59" s="53">
        <v>3.9</v>
      </c>
      <c r="R59" s="54">
        <v>1</v>
      </c>
      <c r="S59" s="57">
        <v>0.1</v>
      </c>
      <c r="T59" s="56">
        <f t="shared" si="0"/>
        <v>4.29</v>
      </c>
    </row>
    <row r="60" spans="14:20" ht="13.5" thickBot="1">
      <c r="P60" s="2" t="s">
        <v>73</v>
      </c>
      <c r="Q60" s="53">
        <v>23.4</v>
      </c>
      <c r="R60" s="54">
        <v>1</v>
      </c>
      <c r="S60" s="57">
        <v>0.1</v>
      </c>
      <c r="T60" s="56">
        <f t="shared" si="0"/>
        <v>25.740000000000002</v>
      </c>
    </row>
    <row r="61" spans="14:20" ht="13.5" thickBot="1">
      <c r="P61" s="1" t="s">
        <v>170</v>
      </c>
      <c r="Q61" s="53">
        <v>20</v>
      </c>
      <c r="R61" s="54">
        <v>1</v>
      </c>
      <c r="S61" s="57">
        <v>0.1</v>
      </c>
      <c r="T61" s="56">
        <f t="shared" si="0"/>
        <v>22</v>
      </c>
    </row>
    <row r="62" spans="14:20">
      <c r="P62" s="1" t="s">
        <v>175</v>
      </c>
      <c r="Q62" s="53">
        <v>13</v>
      </c>
      <c r="R62" s="54">
        <v>1</v>
      </c>
      <c r="S62" s="57">
        <v>0.1</v>
      </c>
      <c r="T62" s="56">
        <f t="shared" si="0"/>
        <v>14.3</v>
      </c>
    </row>
    <row r="63" spans="14:20">
      <c r="P63" s="2" t="s">
        <v>88</v>
      </c>
      <c r="Q63" s="53">
        <f>24*0.7</f>
        <v>16.799999999999997</v>
      </c>
      <c r="R63" s="54">
        <v>1</v>
      </c>
      <c r="S63" s="57">
        <v>0.1</v>
      </c>
      <c r="T63" s="56">
        <f t="shared" si="0"/>
        <v>18.479999999999997</v>
      </c>
    </row>
    <row r="64" spans="14:20">
      <c r="P64" s="63" t="s">
        <v>89</v>
      </c>
      <c r="Q64" s="53">
        <f>1.3*6</f>
        <v>7.8000000000000007</v>
      </c>
      <c r="R64" s="54">
        <v>1</v>
      </c>
      <c r="S64" s="57">
        <v>0.1</v>
      </c>
      <c r="T64" s="56">
        <f t="shared" si="0"/>
        <v>8.5800000000000018</v>
      </c>
    </row>
    <row r="65" spans="16:20">
      <c r="P65" s="33" t="s">
        <v>184</v>
      </c>
      <c r="Q65" s="53">
        <v>1.3</v>
      </c>
      <c r="R65" s="54">
        <v>1</v>
      </c>
      <c r="S65" s="57">
        <v>0.1</v>
      </c>
      <c r="T65" s="56">
        <f t="shared" si="0"/>
        <v>1.4300000000000002</v>
      </c>
    </row>
    <row r="66" spans="16:20">
      <c r="P66" s="2" t="s">
        <v>90</v>
      </c>
      <c r="Q66" s="53">
        <f>2.1*6</f>
        <v>12.600000000000001</v>
      </c>
      <c r="R66" s="54">
        <v>1</v>
      </c>
      <c r="S66" s="57">
        <v>0.1</v>
      </c>
      <c r="T66" s="56">
        <f t="shared" si="0"/>
        <v>13.860000000000003</v>
      </c>
    </row>
    <row r="67" spans="16:20">
      <c r="P67" s="2" t="s">
        <v>58</v>
      </c>
      <c r="Q67" s="53">
        <v>3.8</v>
      </c>
      <c r="R67" s="54">
        <v>1</v>
      </c>
      <c r="S67" s="57">
        <v>0.1</v>
      </c>
      <c r="T67" s="56">
        <f t="shared" si="0"/>
        <v>4.18</v>
      </c>
    </row>
    <row r="68" spans="16:20">
      <c r="P68" s="2" t="s">
        <v>69</v>
      </c>
      <c r="Q68" s="53">
        <v>3.8</v>
      </c>
      <c r="R68" s="54">
        <v>1</v>
      </c>
      <c r="S68" s="57">
        <v>0.1</v>
      </c>
      <c r="T68" s="56">
        <f t="shared" si="0"/>
        <v>4.18</v>
      </c>
    </row>
    <row r="69" spans="16:20">
      <c r="P69" s="2" t="s">
        <v>169</v>
      </c>
      <c r="Q69" s="53">
        <v>1.8</v>
      </c>
      <c r="R69" s="54">
        <v>2</v>
      </c>
      <c r="S69" s="57">
        <v>0.2</v>
      </c>
      <c r="T69" s="56">
        <f t="shared" si="0"/>
        <v>2.16</v>
      </c>
    </row>
    <row r="70" spans="16:20">
      <c r="P70" s="3" t="s">
        <v>101</v>
      </c>
      <c r="Q70" s="53">
        <v>28.8</v>
      </c>
      <c r="R70" s="54">
        <v>2</v>
      </c>
      <c r="S70" s="57">
        <v>0.2</v>
      </c>
      <c r="T70" s="56">
        <f t="shared" si="0"/>
        <v>34.56</v>
      </c>
    </row>
    <row r="71" spans="16:20">
      <c r="P71" s="18" t="s">
        <v>102</v>
      </c>
      <c r="Q71" s="53">
        <v>6.6</v>
      </c>
      <c r="R71" s="54">
        <v>2</v>
      </c>
      <c r="S71" s="57">
        <v>0.2</v>
      </c>
      <c r="T71" s="56">
        <f t="shared" si="0"/>
        <v>7.919999999999999</v>
      </c>
    </row>
    <row r="72" spans="16:20">
      <c r="P72" s="18" t="s">
        <v>103</v>
      </c>
      <c r="Q72" s="53">
        <v>12</v>
      </c>
      <c r="R72" s="54">
        <v>2</v>
      </c>
      <c r="S72" s="57">
        <v>0.2</v>
      </c>
      <c r="T72" s="56">
        <f t="shared" si="0"/>
        <v>14.399999999999999</v>
      </c>
    </row>
    <row r="73" spans="16:20">
      <c r="P73" s="10" t="s">
        <v>106</v>
      </c>
      <c r="Q73" s="53">
        <v>15.1</v>
      </c>
      <c r="R73" s="54">
        <v>2</v>
      </c>
      <c r="S73" s="57">
        <v>0.2</v>
      </c>
      <c r="T73" s="56">
        <f>+Q73*(1+S73)</f>
        <v>18.119999999999997</v>
      </c>
    </row>
    <row r="74" spans="16:20">
      <c r="P74" s="3" t="s">
        <v>105</v>
      </c>
      <c r="Q74" s="53">
        <v>15.1</v>
      </c>
      <c r="R74" s="54">
        <v>2</v>
      </c>
      <c r="S74" s="57">
        <v>0.2</v>
      </c>
      <c r="T74" s="56">
        <f>+Q74*(1+S74)</f>
        <v>18.119999999999997</v>
      </c>
    </row>
    <row r="75" spans="16:20">
      <c r="P75" s="3" t="s">
        <v>104</v>
      </c>
      <c r="Q75" s="53">
        <v>15.1</v>
      </c>
      <c r="R75" s="54">
        <v>2</v>
      </c>
      <c r="S75" s="57">
        <v>0.2</v>
      </c>
      <c r="T75" s="56">
        <f>+Q75*(1+S75)</f>
        <v>18.119999999999997</v>
      </c>
    </row>
    <row r="76" spans="16:20">
      <c r="P76" s="3" t="s">
        <v>14</v>
      </c>
      <c r="Q76" s="53">
        <v>5.8</v>
      </c>
      <c r="R76" s="54">
        <v>2</v>
      </c>
      <c r="S76" s="57">
        <v>0.2</v>
      </c>
      <c r="T76" s="56">
        <f t="shared" si="0"/>
        <v>6.96</v>
      </c>
    </row>
    <row r="77" spans="16:20">
      <c r="P77" s="2" t="s">
        <v>74</v>
      </c>
      <c r="Q77" s="53">
        <v>1.5</v>
      </c>
      <c r="R77" s="54">
        <v>2</v>
      </c>
      <c r="S77" s="57">
        <v>0.2</v>
      </c>
      <c r="T77" s="56">
        <f t="shared" si="0"/>
        <v>1.7999999999999998</v>
      </c>
    </row>
    <row r="78" spans="16:20">
      <c r="P78" s="2" t="s">
        <v>211</v>
      </c>
      <c r="Q78" s="53">
        <v>10</v>
      </c>
      <c r="R78" s="54">
        <v>2</v>
      </c>
      <c r="S78" s="57">
        <v>0.2</v>
      </c>
      <c r="T78" s="56">
        <f t="shared" si="0"/>
        <v>12</v>
      </c>
    </row>
    <row r="79" spans="16:20">
      <c r="P79" s="29" t="s">
        <v>212</v>
      </c>
      <c r="Q79" s="291">
        <v>1.8</v>
      </c>
      <c r="R79" s="292">
        <v>2</v>
      </c>
      <c r="S79" s="293">
        <v>0.2</v>
      </c>
      <c r="T79" s="294">
        <f t="shared" si="0"/>
        <v>2.16</v>
      </c>
    </row>
    <row r="80" spans="16:20" ht="13.5" thickBot="1">
      <c r="P80" s="4" t="s">
        <v>3</v>
      </c>
      <c r="Q80" s="64">
        <v>10</v>
      </c>
      <c r="R80" s="65">
        <v>2</v>
      </c>
      <c r="S80" s="66">
        <v>0.2</v>
      </c>
      <c r="T80" s="67">
        <f>+Q80*(1+S80)</f>
        <v>12</v>
      </c>
    </row>
  </sheetData>
  <customSheetViews>
    <customSheetView guid="{242414E6-120C-46C4-A8A3-88F120C813D3}" fitToPage="1" printArea="1" topLeftCell="F1">
      <selection activeCell="F23" sqref="F23:F51"/>
      <pageMargins left="0.78740157499999996" right="0.78740157499999996" top="0.984251969" bottom="0.984251969" header="0.4921259845" footer="0.4921259845"/>
      <pageSetup paperSize="9" scale="71" orientation="portrait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scale="1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115"/>
  <sheetViews>
    <sheetView tabSelected="1" topLeftCell="A31" zoomScale="90" zoomScaleNormal="90" workbookViewId="0">
      <selection activeCell="B44" sqref="B44"/>
    </sheetView>
  </sheetViews>
  <sheetFormatPr baseColWidth="10" defaultRowHeight="12.75"/>
  <cols>
    <col min="1" max="1" width="50.28515625" style="92" customWidth="1"/>
    <col min="2" max="2" width="81.28515625" style="92" customWidth="1"/>
    <col min="3" max="3" width="24.28515625" style="92" customWidth="1"/>
    <col min="4" max="4" width="10.7109375" style="92" customWidth="1"/>
    <col min="5" max="5" width="15.42578125" style="92" customWidth="1"/>
    <col min="6" max="6" width="18.140625" style="92" customWidth="1"/>
    <col min="7" max="7" width="30.28515625" style="92" customWidth="1"/>
  </cols>
  <sheetData>
    <row r="1" spans="1:12" s="30" customFormat="1" ht="20.100000000000001" customHeight="1">
      <c r="A1" s="69"/>
      <c r="B1" s="70"/>
      <c r="C1" s="71"/>
      <c r="D1" s="71"/>
      <c r="E1" s="72"/>
      <c r="F1" s="72"/>
      <c r="G1" s="72"/>
    </row>
    <row r="2" spans="1:12" s="30" customFormat="1" ht="20.100000000000001" customHeight="1">
      <c r="A2" s="73"/>
      <c r="B2" s="74"/>
      <c r="C2" s="75"/>
      <c r="D2" s="74"/>
      <c r="E2" s="76"/>
      <c r="F2" s="76"/>
      <c r="G2" s="76"/>
    </row>
    <row r="3" spans="1:12" s="16" customFormat="1" ht="36" customHeight="1">
      <c r="A3" s="69"/>
      <c r="B3" s="71"/>
      <c r="C3" s="107" t="s">
        <v>162</v>
      </c>
      <c r="D3" s="108"/>
      <c r="E3" s="107"/>
      <c r="F3" s="107"/>
      <c r="G3" s="107"/>
      <c r="H3" s="108"/>
    </row>
    <row r="4" spans="1:12" s="31" customFormat="1" ht="20.100000000000001" customHeight="1">
      <c r="A4" s="72"/>
      <c r="B4" s="71"/>
      <c r="C4" s="71"/>
      <c r="D4" s="106"/>
      <c r="E4" s="106"/>
      <c r="F4" s="106"/>
      <c r="G4" s="106"/>
    </row>
    <row r="5" spans="1:12" s="31" customFormat="1" ht="25.15" customHeight="1">
      <c r="A5" s="72"/>
      <c r="B5" s="71"/>
      <c r="C5" s="71"/>
      <c r="D5" s="302" t="s">
        <v>159</v>
      </c>
      <c r="E5" s="303"/>
      <c r="F5" s="303"/>
      <c r="G5" s="304"/>
    </row>
    <row r="6" spans="1:12" s="30" customFormat="1" ht="20.100000000000001" customHeight="1">
      <c r="A6" s="77"/>
      <c r="B6" s="78"/>
      <c r="C6" s="78"/>
      <c r="D6" s="332" t="s">
        <v>196</v>
      </c>
      <c r="E6" s="332"/>
      <c r="F6" s="332"/>
      <c r="G6" s="332"/>
    </row>
    <row r="7" spans="1:12" s="30" customFormat="1" ht="18" customHeight="1">
      <c r="A7" s="77"/>
      <c r="B7" s="78"/>
      <c r="D7" s="333"/>
      <c r="E7" s="333"/>
      <c r="F7" s="333"/>
      <c r="G7" s="333"/>
    </row>
    <row r="8" spans="1:12" s="11" customFormat="1" ht="36" customHeight="1">
      <c r="A8" s="79"/>
      <c r="B8" s="80"/>
      <c r="C8" s="80"/>
      <c r="D8" s="333"/>
      <c r="E8" s="333"/>
      <c r="F8" s="333"/>
      <c r="G8" s="333"/>
    </row>
    <row r="9" spans="1:12" s="11" customFormat="1" ht="19.899999999999999" customHeight="1">
      <c r="B9" s="81"/>
      <c r="C9" s="81"/>
      <c r="D9" s="309"/>
      <c r="E9" s="309"/>
      <c r="F9" s="309"/>
      <c r="G9" s="309"/>
    </row>
    <row r="10" spans="1:12" s="11" customFormat="1" ht="20.100000000000001" customHeight="1">
      <c r="B10" s="75"/>
      <c r="C10" s="144"/>
      <c r="D10" s="310" t="s">
        <v>189</v>
      </c>
      <c r="E10" s="311"/>
      <c r="F10" s="316"/>
      <c r="G10" s="317"/>
    </row>
    <row r="11" spans="1:12" s="11" customFormat="1" ht="20.100000000000001" customHeight="1">
      <c r="B11" s="83"/>
      <c r="C11" s="83"/>
      <c r="D11" s="312"/>
      <c r="E11" s="313"/>
      <c r="F11" s="318"/>
      <c r="G11" s="319"/>
    </row>
    <row r="12" spans="1:12" s="11" customFormat="1" ht="19.899999999999999" customHeight="1">
      <c r="A12" s="85"/>
      <c r="C12" s="83"/>
      <c r="D12" s="314"/>
      <c r="E12" s="315"/>
      <c r="F12" s="320"/>
      <c r="G12" s="321"/>
    </row>
    <row r="13" spans="1:12" s="11" customFormat="1" ht="9" customHeight="1">
      <c r="A13" s="84"/>
      <c r="B13" s="84"/>
      <c r="C13" s="84"/>
      <c r="D13" s="84"/>
      <c r="E13" s="84"/>
      <c r="F13" s="84"/>
      <c r="G13" s="84"/>
    </row>
    <row r="14" spans="1:12" s="11" customFormat="1" ht="55.15" customHeight="1">
      <c r="A14" s="121" t="s">
        <v>191</v>
      </c>
      <c r="B14" s="241" t="str">
        <f>IF($A$18="Nom prénom :","","Indiquer le nom de la personne chargée de la mise en paiement des factures et / ou du centre chorus")</f>
        <v/>
      </c>
      <c r="C14" s="241"/>
      <c r="D14" s="241"/>
      <c r="E14" s="241"/>
      <c r="F14" s="241"/>
      <c r="G14" s="241"/>
      <c r="H14" s="162"/>
      <c r="I14" s="162"/>
      <c r="J14" s="162"/>
      <c r="K14" s="162"/>
      <c r="L14" s="162"/>
    </row>
    <row r="15" spans="1:12" s="68" customFormat="1" ht="24.95" customHeight="1">
      <c r="A15" s="150"/>
      <c r="B15" s="169"/>
      <c r="C15" s="153" t="str">
        <f>IF($A$18="Nom prénom :","","Ministére :")</f>
        <v/>
      </c>
      <c r="D15" s="307"/>
      <c r="E15" s="308"/>
      <c r="F15" s="308"/>
      <c r="G15" s="308"/>
    </row>
    <row r="16" spans="1:12" s="68" customFormat="1" ht="24.95" customHeight="1">
      <c r="A16" s="151" t="s">
        <v>161</v>
      </c>
      <c r="B16" s="152"/>
      <c r="C16" s="153" t="str">
        <f>IF($A$18="Nom Prénom :","","Service Payeur :")</f>
        <v/>
      </c>
      <c r="D16" s="307"/>
      <c r="E16" s="308"/>
      <c r="F16" s="308"/>
      <c r="G16" s="308"/>
      <c r="H16" s="154"/>
    </row>
    <row r="17" spans="1:11" s="68" customFormat="1" ht="24.95" customHeight="1">
      <c r="A17" s="151" t="s">
        <v>188</v>
      </c>
      <c r="B17" s="243"/>
      <c r="C17" s="153" t="str">
        <f>IF($A$18="Nom prénom :","","Adresse :")</f>
        <v/>
      </c>
      <c r="D17" s="307"/>
      <c r="E17" s="308"/>
      <c r="F17" s="308"/>
      <c r="G17" s="308"/>
      <c r="H17" s="154"/>
    </row>
    <row r="18" spans="1:11" s="68" customFormat="1" ht="24.95" customHeight="1">
      <c r="A18" s="233" t="s">
        <v>180</v>
      </c>
      <c r="B18" s="257"/>
      <c r="C18" s="153" t="str">
        <f>IF($A$18="Nom prénom :","","Code Postal :")</f>
        <v/>
      </c>
      <c r="D18" s="307"/>
      <c r="E18" s="308"/>
      <c r="F18" s="308"/>
      <c r="G18" s="308"/>
      <c r="H18" s="154"/>
    </row>
    <row r="19" spans="1:11" s="68" customFormat="1" ht="24.95" customHeight="1">
      <c r="A19" s="156" t="s">
        <v>153</v>
      </c>
      <c r="B19" s="257"/>
      <c r="C19" s="153" t="str">
        <f>IF($A$18="Nom prénom :","","Ville :")</f>
        <v/>
      </c>
      <c r="D19" s="307"/>
      <c r="E19" s="308"/>
      <c r="F19" s="308"/>
      <c r="G19" s="308"/>
      <c r="H19" s="154"/>
    </row>
    <row r="20" spans="1:11" s="68" customFormat="1" ht="24.95" customHeight="1">
      <c r="A20" s="151" t="s">
        <v>164</v>
      </c>
      <c r="B20" s="257"/>
      <c r="C20" s="153" t="str">
        <f>IF($A$18="Nom prénom :","","Nom de la personne")</f>
        <v/>
      </c>
      <c r="D20" s="334"/>
      <c r="E20" s="334"/>
      <c r="F20" s="334"/>
      <c r="G20" s="334"/>
      <c r="H20" s="154"/>
      <c r="I20" s="156"/>
    </row>
    <row r="21" spans="1:11" s="68" customFormat="1" ht="24.95" customHeight="1">
      <c r="A21" s="156" t="s">
        <v>154</v>
      </c>
      <c r="B21" s="257"/>
      <c r="C21" s="153" t="str">
        <f>IF($A$18="Nom prénom :","","Chargé du réglement")</f>
        <v/>
      </c>
      <c r="D21" s="334"/>
      <c r="E21" s="334"/>
      <c r="F21" s="334"/>
      <c r="G21" s="334"/>
      <c r="H21" s="154"/>
    </row>
    <row r="22" spans="1:11" s="68" customFormat="1" ht="24.95" customHeight="1">
      <c r="A22" s="151" t="s">
        <v>182</v>
      </c>
      <c r="B22" s="257"/>
      <c r="C22" s="153" t="str">
        <f>IF($A$18="Nom prénom :","","N° de téléphone :")</f>
        <v/>
      </c>
      <c r="D22" s="335"/>
      <c r="E22" s="335"/>
      <c r="F22" s="335"/>
      <c r="G22" s="157"/>
      <c r="H22" s="154"/>
    </row>
    <row r="23" spans="1:11" s="68" customFormat="1" ht="24.95" customHeight="1">
      <c r="A23" s="156" t="s">
        <v>155</v>
      </c>
      <c r="B23" s="158"/>
      <c r="C23" s="153" t="str">
        <f>IF($A$18="Nom prénom :","","Adresse mail :")</f>
        <v/>
      </c>
      <c r="D23" s="342"/>
      <c r="E23" s="308"/>
      <c r="F23" s="308"/>
      <c r="G23" s="157"/>
      <c r="H23" s="154"/>
    </row>
    <row r="24" spans="1:11" s="68" customFormat="1" ht="24.95" customHeight="1">
      <c r="A24" s="151" t="s">
        <v>163</v>
      </c>
      <c r="B24" s="289"/>
      <c r="C24" s="153" t="str">
        <f>IF($A$18="Nom prénom :","","Bon de commande :")</f>
        <v/>
      </c>
      <c r="D24" s="308"/>
      <c r="E24" s="308"/>
      <c r="F24" s="308"/>
      <c r="G24" s="159"/>
    </row>
    <row r="25" spans="1:11" s="68" customFormat="1" ht="24.95" customHeight="1">
      <c r="A25" s="151"/>
      <c r="B25" s="160"/>
      <c r="C25" s="240" t="s">
        <v>179</v>
      </c>
      <c r="D25" s="331" t="s">
        <v>21</v>
      </c>
      <c r="E25" s="331"/>
      <c r="F25" s="331"/>
      <c r="G25" s="331"/>
      <c r="H25" s="161"/>
    </row>
    <row r="26" spans="1:11" s="68" customFormat="1" ht="24.95" customHeight="1">
      <c r="B26" s="89"/>
      <c r="C26" s="155" t="str">
        <f>IF(D25="Virement Chorus","N° Chorus :","")</f>
        <v/>
      </c>
      <c r="D26" s="308"/>
      <c r="E26" s="308"/>
      <c r="F26" s="308"/>
      <c r="G26" s="308"/>
    </row>
    <row r="27" spans="1:11" s="68" customFormat="1" ht="38.450000000000003" customHeight="1">
      <c r="A27" s="120" t="s">
        <v>12</v>
      </c>
      <c r="B27" s="120"/>
      <c r="C27" s="120"/>
      <c r="D27" s="120"/>
      <c r="E27" s="120"/>
      <c r="F27" s="120"/>
      <c r="G27" s="120"/>
    </row>
    <row r="28" spans="1:11" s="68" customFormat="1" ht="24.95" customHeight="1" thickBot="1">
      <c r="A28" s="88"/>
      <c r="B28" s="88"/>
      <c r="C28" s="145" t="s">
        <v>190</v>
      </c>
      <c r="D28" s="146"/>
      <c r="E28" s="146"/>
      <c r="F28" s="146"/>
      <c r="G28" s="146"/>
    </row>
    <row r="29" spans="1:11" s="68" customFormat="1" ht="24.95" customHeight="1">
      <c r="A29" s="102" t="s">
        <v>152</v>
      </c>
      <c r="B29" s="149"/>
      <c r="C29" s="322"/>
      <c r="D29" s="323"/>
      <c r="E29" s="323"/>
      <c r="F29" s="323"/>
      <c r="G29" s="324"/>
    </row>
    <row r="30" spans="1:11" s="68" customFormat="1" ht="24.95" customHeight="1">
      <c r="A30" s="102" t="s">
        <v>156</v>
      </c>
      <c r="B30" s="148"/>
      <c r="C30" s="325"/>
      <c r="D30" s="326"/>
      <c r="E30" s="326"/>
      <c r="F30" s="326"/>
      <c r="G30" s="327"/>
      <c r="H30" s="119"/>
      <c r="I30" s="119"/>
      <c r="J30" s="119"/>
      <c r="K30" s="119"/>
    </row>
    <row r="31" spans="1:11" s="68" customFormat="1" ht="24.95" customHeight="1">
      <c r="A31" s="110" t="s">
        <v>160</v>
      </c>
      <c r="B31" s="147" t="s">
        <v>183</v>
      </c>
      <c r="C31" s="325"/>
      <c r="D31" s="326"/>
      <c r="E31" s="326"/>
      <c r="F31" s="326"/>
      <c r="G31" s="327"/>
    </row>
    <row r="32" spans="1:11" s="68" customFormat="1" ht="24.95" customHeight="1" thickBot="1">
      <c r="A32" s="112" t="str">
        <f>IF($B$31="A Emporter","Lieu de retrait :","")</f>
        <v/>
      </c>
      <c r="B32" s="105" t="str">
        <f>+IF(A32="Lieu de retrait :"," Le Café à partir de 8h00","")</f>
        <v/>
      </c>
      <c r="C32" s="328"/>
      <c r="D32" s="329"/>
      <c r="E32" s="329"/>
      <c r="F32" s="329"/>
      <c r="G32" s="330"/>
    </row>
    <row r="33" spans="1:7" s="68" customFormat="1" ht="24.95" customHeight="1">
      <c r="A33" s="163" t="str">
        <f>IF(B31="Autre Lieu","Autre Lieu :","")</f>
        <v/>
      </c>
      <c r="B33" s="164"/>
      <c r="C33" s="164"/>
      <c r="D33" s="164"/>
      <c r="E33" s="164"/>
      <c r="F33" s="164"/>
      <c r="G33" s="164"/>
    </row>
    <row r="34" spans="1:7" s="11" customFormat="1" ht="18" customHeight="1">
      <c r="A34" s="90"/>
      <c r="B34" s="98"/>
      <c r="C34" s="90"/>
      <c r="D34" s="90"/>
      <c r="E34" s="90"/>
      <c r="F34" s="90"/>
      <c r="G34" s="90"/>
    </row>
    <row r="35" spans="1:7" s="11" customFormat="1" ht="0.75" customHeight="1">
      <c r="A35" s="82"/>
      <c r="B35" s="99"/>
      <c r="C35" s="82"/>
      <c r="D35" s="82"/>
      <c r="E35" s="82"/>
      <c r="F35" s="82"/>
      <c r="G35" s="82"/>
    </row>
    <row r="36" spans="1:7" s="11" customFormat="1" ht="61.5" customHeight="1">
      <c r="A36" s="101" t="s">
        <v>82</v>
      </c>
      <c r="B36" s="100"/>
      <c r="C36" s="94"/>
      <c r="D36" s="94"/>
      <c r="E36" s="94"/>
      <c r="F36" s="94"/>
      <c r="G36" s="111"/>
    </row>
    <row r="37" spans="1:7" s="11" customFormat="1" ht="15">
      <c r="A37" s="86"/>
      <c r="B37" s="86"/>
      <c r="C37" s="86"/>
      <c r="D37" s="86"/>
      <c r="E37" s="86"/>
      <c r="F37" s="86"/>
      <c r="G37" s="86"/>
    </row>
    <row r="38" spans="1:7" s="11" customFormat="1" ht="52.5" customHeight="1">
      <c r="A38" s="96" t="s">
        <v>171</v>
      </c>
      <c r="B38" s="96" t="s">
        <v>1</v>
      </c>
      <c r="C38" s="96" t="s">
        <v>0</v>
      </c>
      <c r="D38" s="96" t="s">
        <v>2</v>
      </c>
      <c r="E38" s="96" t="s">
        <v>4</v>
      </c>
      <c r="F38" s="96" t="s">
        <v>87</v>
      </c>
      <c r="G38" s="97" t="s">
        <v>11</v>
      </c>
    </row>
    <row r="39" spans="1:7" s="11" customFormat="1" ht="32.1" customHeight="1">
      <c r="A39" s="235" t="str">
        <f>livraisonPersonnel</f>
        <v>Livraison et Personnel TVA 20 %</v>
      </c>
      <c r="B39" s="236"/>
      <c r="C39" s="172" t="s">
        <v>205</v>
      </c>
      <c r="D39" s="170" t="str">
        <f t="shared" ref="D39:D51" si="0">(IF(ISBLANK($B39),"",VLOOKUP($B39,tarif,2,FALSE)))</f>
        <v/>
      </c>
      <c r="E39" s="242" t="str">
        <f>IFERROR(C39*D39,"")</f>
        <v/>
      </c>
      <c r="F39" s="171" t="str">
        <f t="shared" ref="F39:F51" si="1">(IF(ISBLANK($B39),"",VLOOKUP($B39,tarif,3,FALSE)))</f>
        <v/>
      </c>
      <c r="G39" s="234" t="str">
        <f t="shared" ref="G39:G56" si="2">IF(B39=0,"",IF(D39=0,"",IF(F39=0,0,IF(F39=1,E39*1.1,IF(F39=2,E39*1.2)))))</f>
        <v/>
      </c>
    </row>
    <row r="40" spans="1:7" s="11" customFormat="1" ht="23.25">
      <c r="A40" s="237" t="str">
        <f>+Calcul_A_emporter!K19</f>
        <v>Location de salle AURI TVA à 20%</v>
      </c>
      <c r="B40" s="237"/>
      <c r="C40" s="172" t="s">
        <v>205</v>
      </c>
      <c r="D40" s="170" t="str">
        <f t="shared" si="0"/>
        <v/>
      </c>
      <c r="E40" s="242" t="str">
        <f t="shared" ref="E40:E56" si="3">IFERROR(C40*D40,"")</f>
        <v/>
      </c>
      <c r="F40" s="171" t="str">
        <f t="shared" si="1"/>
        <v/>
      </c>
      <c r="G40" s="234" t="str">
        <f t="shared" si="2"/>
        <v/>
      </c>
    </row>
    <row r="41" spans="1:7" s="11" customFormat="1" ht="32.1" customHeight="1">
      <c r="A41" s="237"/>
      <c r="B41" s="237"/>
      <c r="C41" s="172" t="str">
        <f t="shared" ref="C41:C44" si="4">IF(B41=0,"",IF(A41=0,"",IF(ISBLANK($B41),"","Quantité à remplir")))</f>
        <v/>
      </c>
      <c r="D41" s="170" t="str">
        <f t="shared" si="0"/>
        <v/>
      </c>
      <c r="E41" s="242" t="str">
        <f t="shared" ref="E41:E44" si="5">IFERROR(C41*D41,"")</f>
        <v/>
      </c>
      <c r="F41" s="171" t="str">
        <f t="shared" si="1"/>
        <v/>
      </c>
      <c r="G41" s="234" t="str">
        <f t="shared" ref="G41:G44" si="6">IF(B41=0,"",IF(D41=0,"",IF(F41=0,0,IF(F41=1,E41*1.1,IF(F41=2,E41*1.2)))))</f>
        <v/>
      </c>
    </row>
    <row r="42" spans="1:7" s="11" customFormat="1" ht="32.1" customHeight="1">
      <c r="A42" s="237"/>
      <c r="B42" s="237"/>
      <c r="C42" s="172" t="str">
        <f t="shared" si="4"/>
        <v/>
      </c>
      <c r="D42" s="170" t="str">
        <f t="shared" si="0"/>
        <v/>
      </c>
      <c r="E42" s="242" t="str">
        <f t="shared" si="5"/>
        <v/>
      </c>
      <c r="F42" s="171" t="str">
        <f t="shared" si="1"/>
        <v/>
      </c>
      <c r="G42" s="234" t="str">
        <f t="shared" si="6"/>
        <v/>
      </c>
    </row>
    <row r="43" spans="1:7" s="11" customFormat="1" ht="32.1" customHeight="1">
      <c r="A43" s="237"/>
      <c r="B43" s="237"/>
      <c r="C43" s="172" t="str">
        <f t="shared" si="4"/>
        <v/>
      </c>
      <c r="D43" s="170" t="str">
        <f t="shared" si="0"/>
        <v/>
      </c>
      <c r="E43" s="242" t="str">
        <f t="shared" si="5"/>
        <v/>
      </c>
      <c r="F43" s="171" t="str">
        <f t="shared" si="1"/>
        <v/>
      </c>
      <c r="G43" s="234" t="str">
        <f t="shared" si="6"/>
        <v/>
      </c>
    </row>
    <row r="44" spans="1:7" s="11" customFormat="1" ht="32.1" customHeight="1">
      <c r="A44" s="237"/>
      <c r="B44" s="237"/>
      <c r="C44" s="172" t="str">
        <f t="shared" si="4"/>
        <v/>
      </c>
      <c r="D44" s="170" t="str">
        <f t="shared" si="0"/>
        <v/>
      </c>
      <c r="E44" s="242" t="str">
        <f t="shared" si="5"/>
        <v/>
      </c>
      <c r="F44" s="171" t="str">
        <f t="shared" si="1"/>
        <v/>
      </c>
      <c r="G44" s="234" t="str">
        <f t="shared" si="6"/>
        <v/>
      </c>
    </row>
    <row r="45" spans="1:7" s="11" customFormat="1" ht="32.1" customHeight="1">
      <c r="A45" s="237"/>
      <c r="B45" s="237"/>
      <c r="C45" s="172" t="str">
        <f t="shared" ref="C41:C45" si="7">IF(B45=0,"",IF(A45=0,"",IF(ISBLANK($B45),"","Quantité à remplir")))</f>
        <v/>
      </c>
      <c r="D45" s="170" t="str">
        <f t="shared" si="0"/>
        <v/>
      </c>
      <c r="E45" s="242" t="str">
        <f t="shared" si="3"/>
        <v/>
      </c>
      <c r="F45" s="171" t="str">
        <f t="shared" si="1"/>
        <v/>
      </c>
      <c r="G45" s="234" t="str">
        <f t="shared" si="2"/>
        <v/>
      </c>
    </row>
    <row r="46" spans="1:7" s="11" customFormat="1" ht="32.1" customHeight="1">
      <c r="A46" s="237"/>
      <c r="B46" s="237"/>
      <c r="C46" s="172" t="str">
        <f t="shared" ref="C46:C51" si="8">IF(B46=0,"",IF(A46=0,"",IF(ISBLANK($B46),"","Quantité à remplir")))</f>
        <v/>
      </c>
      <c r="D46" s="170" t="str">
        <f t="shared" si="0"/>
        <v/>
      </c>
      <c r="E46" s="242" t="str">
        <f t="shared" ref="E46:E51" si="9">IFERROR(C46*D46,"")</f>
        <v/>
      </c>
      <c r="F46" s="171" t="str">
        <f t="shared" si="1"/>
        <v/>
      </c>
      <c r="G46" s="234" t="str">
        <f t="shared" ref="G46:G51" si="10">IF(B46=0,"",IF(D46=0,"",IF(F46=0,0,IF(F46=1,E46*1.1,IF(F46=2,E46*1.2)))))</f>
        <v/>
      </c>
    </row>
    <row r="47" spans="1:7" s="11" customFormat="1" ht="32.1" customHeight="1">
      <c r="A47" s="237"/>
      <c r="B47" s="237"/>
      <c r="C47" s="172" t="str">
        <f t="shared" si="8"/>
        <v/>
      </c>
      <c r="D47" s="170" t="str">
        <f t="shared" si="0"/>
        <v/>
      </c>
      <c r="E47" s="242" t="str">
        <f t="shared" si="9"/>
        <v/>
      </c>
      <c r="F47" s="171" t="str">
        <f t="shared" si="1"/>
        <v/>
      </c>
      <c r="G47" s="234" t="str">
        <f t="shared" si="10"/>
        <v/>
      </c>
    </row>
    <row r="48" spans="1:7" s="11" customFormat="1" ht="32.1" customHeight="1">
      <c r="A48" s="237"/>
      <c r="B48" s="237"/>
      <c r="C48" s="172" t="str">
        <f t="shared" si="8"/>
        <v/>
      </c>
      <c r="D48" s="170" t="str">
        <f t="shared" si="0"/>
        <v/>
      </c>
      <c r="E48" s="242" t="str">
        <f t="shared" si="9"/>
        <v/>
      </c>
      <c r="F48" s="171" t="str">
        <f t="shared" si="1"/>
        <v/>
      </c>
      <c r="G48" s="234" t="str">
        <f t="shared" si="10"/>
        <v/>
      </c>
    </row>
    <row r="49" spans="1:7" s="11" customFormat="1" ht="32.1" customHeight="1">
      <c r="A49" s="237"/>
      <c r="B49" s="237"/>
      <c r="C49" s="172" t="str">
        <f t="shared" si="8"/>
        <v/>
      </c>
      <c r="D49" s="170" t="str">
        <f t="shared" si="0"/>
        <v/>
      </c>
      <c r="E49" s="242" t="str">
        <f t="shared" si="9"/>
        <v/>
      </c>
      <c r="F49" s="171" t="str">
        <f t="shared" si="1"/>
        <v/>
      </c>
      <c r="G49" s="234" t="str">
        <f t="shared" si="10"/>
        <v/>
      </c>
    </row>
    <row r="50" spans="1:7" s="11" customFormat="1" ht="32.1" customHeight="1">
      <c r="A50" s="237"/>
      <c r="B50" s="237"/>
      <c r="C50" s="172" t="str">
        <f t="shared" si="8"/>
        <v/>
      </c>
      <c r="D50" s="170" t="str">
        <f t="shared" si="0"/>
        <v/>
      </c>
      <c r="E50" s="242" t="str">
        <f t="shared" si="9"/>
        <v/>
      </c>
      <c r="F50" s="171" t="str">
        <f t="shared" si="1"/>
        <v/>
      </c>
      <c r="G50" s="234" t="str">
        <f t="shared" si="10"/>
        <v/>
      </c>
    </row>
    <row r="51" spans="1:7" s="11" customFormat="1" ht="32.1" customHeight="1">
      <c r="A51" s="237"/>
      <c r="B51" s="237"/>
      <c r="C51" s="172" t="str">
        <f t="shared" si="8"/>
        <v/>
      </c>
      <c r="D51" s="170" t="str">
        <f t="shared" si="0"/>
        <v/>
      </c>
      <c r="E51" s="242" t="str">
        <f t="shared" si="9"/>
        <v/>
      </c>
      <c r="F51" s="171" t="str">
        <f t="shared" si="1"/>
        <v/>
      </c>
      <c r="G51" s="234" t="str">
        <f t="shared" si="10"/>
        <v/>
      </c>
    </row>
    <row r="52" spans="1:7" s="11" customFormat="1" ht="32.1" customHeight="1">
      <c r="A52" s="237"/>
      <c r="B52" s="237"/>
      <c r="C52" s="172" t="str">
        <f t="shared" ref="C52:C56" si="11">IF(B52=0,"",IF(A52=0,"",IF(ISBLANK($B52),"","Quantité à remplir")))</f>
        <v/>
      </c>
      <c r="D52" s="170" t="str">
        <f>(IF(ISBLANK($B52),"",VLOOKUP($B52,tarif,2,FALSE)))</f>
        <v/>
      </c>
      <c r="E52" s="242" t="str">
        <f t="shared" si="3"/>
        <v/>
      </c>
      <c r="F52" s="171" t="str">
        <f>(IF(ISBLANK($B52),"",VLOOKUP($B52,tarif,3,FALSE)))</f>
        <v/>
      </c>
      <c r="G52" s="234" t="str">
        <f t="shared" si="2"/>
        <v/>
      </c>
    </row>
    <row r="53" spans="1:7" s="11" customFormat="1" ht="32.1" customHeight="1">
      <c r="A53" s="237"/>
      <c r="B53" s="237"/>
      <c r="C53" s="172" t="str">
        <f t="shared" si="11"/>
        <v/>
      </c>
      <c r="D53" s="170" t="str">
        <f>(IF(ISBLANK($B53),"",VLOOKUP($B53,tarif,2,FALSE)))</f>
        <v/>
      </c>
      <c r="E53" s="242" t="str">
        <f t="shared" si="3"/>
        <v/>
      </c>
      <c r="F53" s="171" t="str">
        <f>(IF(ISBLANK($B53),"",VLOOKUP($B53,tarif,3,FALSE)))</f>
        <v/>
      </c>
      <c r="G53" s="234" t="str">
        <f t="shared" si="2"/>
        <v/>
      </c>
    </row>
    <row r="54" spans="1:7" s="11" customFormat="1" ht="32.1" customHeight="1">
      <c r="A54" s="237"/>
      <c r="B54" s="237"/>
      <c r="C54" s="172" t="str">
        <f t="shared" si="11"/>
        <v/>
      </c>
      <c r="D54" s="170" t="str">
        <f>(IF(ISBLANK($B54),"",VLOOKUP($B54,tarif,2,FALSE)))</f>
        <v/>
      </c>
      <c r="E54" s="242" t="str">
        <f t="shared" si="3"/>
        <v/>
      </c>
      <c r="F54" s="171" t="str">
        <f>(IF(ISBLANK($B54),"",VLOOKUP($B54,tarif,3,FALSE)))</f>
        <v/>
      </c>
      <c r="G54" s="234" t="str">
        <f t="shared" si="2"/>
        <v/>
      </c>
    </row>
    <row r="55" spans="1:7" s="11" customFormat="1" ht="32.1" customHeight="1">
      <c r="A55" s="237"/>
      <c r="B55" s="237"/>
      <c r="C55" s="172" t="str">
        <f t="shared" si="11"/>
        <v/>
      </c>
      <c r="D55" s="170" t="str">
        <f>(IF(ISBLANK($B55),"",VLOOKUP($B55,tarif,2,FALSE)))</f>
        <v/>
      </c>
      <c r="E55" s="242" t="str">
        <f t="shared" si="3"/>
        <v/>
      </c>
      <c r="F55" s="171" t="str">
        <f>(IF(ISBLANK($B55),"",VLOOKUP($B55,tarif,3,FALSE)))</f>
        <v/>
      </c>
      <c r="G55" s="234" t="str">
        <f t="shared" si="2"/>
        <v/>
      </c>
    </row>
    <row r="56" spans="1:7" s="11" customFormat="1" ht="32.1" customHeight="1" thickBot="1">
      <c r="A56" s="238"/>
      <c r="B56" s="237"/>
      <c r="C56" s="172" t="str">
        <f t="shared" si="11"/>
        <v/>
      </c>
      <c r="D56" s="173" t="str">
        <f>(IF(ISBLANK($B56),"",VLOOKUP($B56,tarif,2,FALSE)))</f>
        <v/>
      </c>
      <c r="E56" s="242" t="str">
        <f t="shared" si="3"/>
        <v/>
      </c>
      <c r="F56" s="174" t="str">
        <f>(IF(ISBLANK($B56),"",VLOOKUP($B56,tarif,3,FALSE)))</f>
        <v/>
      </c>
      <c r="G56" s="234" t="str">
        <f t="shared" si="2"/>
        <v/>
      </c>
    </row>
    <row r="57" spans="1:7" ht="32.1" customHeight="1" thickTop="1" thickBot="1">
      <c r="A57" s="115" t="s">
        <v>84</v>
      </c>
      <c r="B57" s="116" t="s">
        <v>158</v>
      </c>
      <c r="C57" s="117" t="s">
        <v>157</v>
      </c>
      <c r="D57" s="305" t="s">
        <v>165</v>
      </c>
      <c r="E57" s="306"/>
      <c r="F57" s="305" t="s">
        <v>166</v>
      </c>
      <c r="G57" s="306"/>
    </row>
    <row r="58" spans="1:7" ht="32.1" customHeight="1" thickTop="1" thickBot="1">
      <c r="A58" s="165" t="s">
        <v>85</v>
      </c>
      <c r="B58" s="167">
        <f>SUMIF(F39:F56,1,E39:E56)</f>
        <v>0</v>
      </c>
      <c r="C58" s="168">
        <f>+B58*0.1</f>
        <v>0</v>
      </c>
      <c r="D58" s="340">
        <f>+B58</f>
        <v>0</v>
      </c>
      <c r="E58" s="341"/>
      <c r="F58" s="336">
        <f>SUM(C58:E58)+SUM(C59:E59)</f>
        <v>0</v>
      </c>
      <c r="G58" s="337"/>
    </row>
    <row r="59" spans="1:7" ht="32.1" customHeight="1" thickTop="1" thickBot="1">
      <c r="A59" s="166" t="s">
        <v>86</v>
      </c>
      <c r="B59" s="168">
        <f>SUMIF(F39:F56,2,E39:E56)</f>
        <v>0</v>
      </c>
      <c r="C59" s="143">
        <f>+B59*0.2</f>
        <v>0</v>
      </c>
      <c r="D59" s="340">
        <f>+B59</f>
        <v>0</v>
      </c>
      <c r="E59" s="341"/>
      <c r="F59" s="338"/>
      <c r="G59" s="339"/>
    </row>
    <row r="60" spans="1:7" ht="13.5" thickTop="1">
      <c r="A60" s="82"/>
      <c r="B60" s="82"/>
      <c r="C60" s="82"/>
      <c r="D60" s="82"/>
      <c r="E60" s="82"/>
      <c r="F60" s="82"/>
      <c r="G60" s="82"/>
    </row>
    <row r="61" spans="1:7" s="11" customFormat="1" ht="20.25" customHeight="1">
      <c r="A61" s="82"/>
      <c r="B61" s="82"/>
      <c r="C61" s="82"/>
      <c r="D61" s="82"/>
      <c r="E61" s="82"/>
      <c r="F61" s="82"/>
      <c r="G61" s="82"/>
    </row>
    <row r="62" spans="1:7" s="11" customFormat="1" ht="39.75" customHeight="1">
      <c r="A62" s="82"/>
      <c r="B62" s="82"/>
      <c r="C62" s="82"/>
      <c r="D62" s="82"/>
      <c r="E62" s="82"/>
      <c r="F62" s="82"/>
      <c r="G62" s="82"/>
    </row>
    <row r="63" spans="1:7" s="11" customFormat="1" ht="39.75" customHeight="1">
      <c r="A63" s="93"/>
      <c r="B63" s="82"/>
      <c r="C63" s="82"/>
      <c r="D63" s="82"/>
      <c r="E63" s="82"/>
      <c r="F63" s="82"/>
      <c r="G63" s="82"/>
    </row>
    <row r="64" spans="1:7" s="11" customFormat="1" ht="24" customHeight="1">
      <c r="A64" s="82"/>
      <c r="B64" s="82"/>
      <c r="C64" s="82"/>
      <c r="D64" s="82"/>
      <c r="E64" s="82"/>
      <c r="F64" s="82"/>
      <c r="G64" s="82"/>
    </row>
    <row r="65" spans="1:7" s="11" customFormat="1" ht="18.75" customHeight="1">
      <c r="A65" s="82"/>
      <c r="B65" s="82"/>
      <c r="C65" s="82"/>
      <c r="D65" s="82"/>
      <c r="E65" s="82"/>
      <c r="F65" s="82"/>
      <c r="G65" s="82"/>
    </row>
    <row r="66" spans="1:7" s="11" customFormat="1" ht="12.75" customHeight="1">
      <c r="A66" s="82"/>
      <c r="B66" s="82"/>
      <c r="C66" s="82"/>
      <c r="D66" s="82"/>
      <c r="E66" s="82"/>
      <c r="F66" s="82"/>
      <c r="G66" s="82"/>
    </row>
    <row r="67" spans="1:7" s="11" customFormat="1" ht="12.75" customHeight="1">
      <c r="A67" s="82"/>
      <c r="B67" s="82"/>
      <c r="C67" s="82"/>
      <c r="D67" s="82"/>
      <c r="E67" s="82"/>
      <c r="F67" s="82"/>
      <c r="G67" s="82"/>
    </row>
    <row r="68" spans="1:7" s="11" customFormat="1" ht="12.75" customHeight="1">
      <c r="A68" s="82"/>
      <c r="B68" s="82"/>
      <c r="C68" s="82"/>
      <c r="D68" s="82"/>
      <c r="E68" s="82"/>
      <c r="F68" s="82"/>
      <c r="G68" s="82"/>
    </row>
    <row r="69" spans="1:7" s="11" customFormat="1" ht="12.75" customHeight="1">
      <c r="A69" s="82"/>
      <c r="B69" s="82"/>
      <c r="C69" s="82"/>
      <c r="D69" s="82"/>
      <c r="E69" s="82"/>
      <c r="F69" s="82"/>
      <c r="G69" s="82"/>
    </row>
    <row r="70" spans="1:7" s="11" customFormat="1">
      <c r="A70" s="82"/>
      <c r="B70" s="82"/>
      <c r="C70" s="82"/>
      <c r="D70" s="82"/>
      <c r="E70" s="82"/>
      <c r="F70" s="82"/>
      <c r="G70" s="82"/>
    </row>
    <row r="71" spans="1:7" s="11" customFormat="1" ht="12.75" customHeight="1">
      <c r="A71" s="82"/>
      <c r="B71" s="82"/>
      <c r="C71" s="82"/>
      <c r="D71" s="82"/>
      <c r="E71" s="82"/>
      <c r="F71" s="82"/>
      <c r="G71" s="82"/>
    </row>
    <row r="72" spans="1:7" s="11" customFormat="1" ht="18.75">
      <c r="A72" s="95"/>
      <c r="B72" s="91"/>
      <c r="C72" s="82"/>
      <c r="D72" s="82"/>
      <c r="E72" s="82"/>
      <c r="F72" s="82"/>
    </row>
    <row r="73" spans="1:7" s="11" customFormat="1">
      <c r="A73" s="82"/>
      <c r="B73" s="82"/>
      <c r="C73" s="82"/>
      <c r="D73" s="82"/>
      <c r="E73" s="82"/>
      <c r="F73" s="82"/>
      <c r="G73" s="82"/>
    </row>
    <row r="74" spans="1:7" s="11" customFormat="1">
      <c r="A74" s="82"/>
      <c r="B74" s="82"/>
      <c r="C74" s="82"/>
      <c r="D74" s="82"/>
      <c r="E74" s="82"/>
      <c r="F74" s="82"/>
      <c r="G74" s="82"/>
    </row>
    <row r="75" spans="1:7" s="11" customFormat="1">
      <c r="A75" s="82"/>
      <c r="B75" s="82"/>
      <c r="C75" s="82"/>
      <c r="D75" s="82"/>
      <c r="E75" s="82"/>
      <c r="F75" s="82"/>
      <c r="G75" s="82"/>
    </row>
    <row r="76" spans="1:7" s="11" customFormat="1">
      <c r="A76" s="82"/>
      <c r="B76" s="82"/>
      <c r="C76" s="82"/>
      <c r="D76" s="82"/>
      <c r="E76" s="82"/>
      <c r="F76" s="82"/>
      <c r="G76" s="82"/>
    </row>
    <row r="77" spans="1:7" s="11" customFormat="1">
      <c r="A77" s="82"/>
      <c r="B77" s="82"/>
      <c r="C77" s="82"/>
      <c r="D77" s="82"/>
      <c r="E77" s="82"/>
      <c r="F77" s="82"/>
      <c r="G77" s="82"/>
    </row>
    <row r="78" spans="1:7" s="11" customFormat="1">
      <c r="A78" s="82"/>
      <c r="B78" s="82"/>
      <c r="C78" s="82"/>
      <c r="D78" s="82"/>
      <c r="E78" s="82"/>
      <c r="F78" s="82"/>
      <c r="G78" s="82"/>
    </row>
    <row r="79" spans="1:7" s="11" customFormat="1">
      <c r="A79" s="82"/>
      <c r="B79" s="82"/>
      <c r="C79" s="82"/>
      <c r="D79" s="82"/>
      <c r="E79" s="82"/>
      <c r="F79" s="82"/>
      <c r="G79" s="82"/>
    </row>
    <row r="80" spans="1:7" s="11" customFormat="1">
      <c r="A80" s="82"/>
      <c r="B80" s="82"/>
      <c r="C80" s="82"/>
      <c r="D80" s="82"/>
      <c r="E80" s="82"/>
      <c r="F80" s="82"/>
      <c r="G80" s="82"/>
    </row>
    <row r="81" spans="1:7" s="11" customFormat="1">
      <c r="A81" s="82"/>
      <c r="B81" s="82"/>
      <c r="C81" s="82"/>
      <c r="D81" s="82"/>
      <c r="E81" s="82"/>
      <c r="F81" s="82"/>
      <c r="G81" s="82"/>
    </row>
    <row r="82" spans="1:7" s="11" customFormat="1">
      <c r="A82" s="82"/>
      <c r="B82" s="82"/>
      <c r="C82" s="82"/>
      <c r="D82" s="82"/>
      <c r="E82" s="82"/>
      <c r="F82" s="82"/>
      <c r="G82" s="82"/>
    </row>
    <row r="83" spans="1:7" s="11" customFormat="1">
      <c r="A83" s="82"/>
      <c r="B83" s="82"/>
      <c r="C83" s="82"/>
      <c r="D83" s="82"/>
      <c r="E83" s="82"/>
      <c r="F83" s="82"/>
      <c r="G83" s="82"/>
    </row>
    <row r="84" spans="1:7" s="11" customFormat="1">
      <c r="A84" s="82"/>
      <c r="B84" s="82"/>
      <c r="C84" s="82"/>
      <c r="D84" s="82"/>
      <c r="E84" s="82"/>
      <c r="F84" s="82"/>
      <c r="G84" s="82"/>
    </row>
    <row r="85" spans="1:7" s="11" customFormat="1">
      <c r="A85" s="82"/>
      <c r="B85" s="82"/>
      <c r="C85" s="82"/>
      <c r="D85" s="82"/>
      <c r="E85" s="82"/>
      <c r="F85" s="82"/>
      <c r="G85" s="82"/>
    </row>
    <row r="86" spans="1:7" s="11" customFormat="1">
      <c r="A86" s="82"/>
      <c r="B86" s="82"/>
      <c r="C86" s="82"/>
      <c r="D86" s="82"/>
      <c r="E86" s="82"/>
      <c r="F86" s="82"/>
      <c r="G86" s="82"/>
    </row>
    <row r="87" spans="1:7" s="11" customFormat="1">
      <c r="A87" s="82"/>
      <c r="B87" s="82"/>
      <c r="C87" s="82"/>
      <c r="D87" s="82"/>
      <c r="E87" s="82"/>
      <c r="F87" s="82"/>
      <c r="G87" s="82"/>
    </row>
    <row r="88" spans="1:7" s="11" customFormat="1">
      <c r="A88" s="82"/>
      <c r="B88" s="82"/>
      <c r="C88" s="82"/>
      <c r="D88" s="82"/>
      <c r="E88" s="82"/>
      <c r="F88" s="82"/>
      <c r="G88" s="82"/>
    </row>
    <row r="89" spans="1:7" s="11" customFormat="1">
      <c r="A89" s="82"/>
      <c r="B89" s="82"/>
      <c r="C89" s="82"/>
      <c r="D89" s="82"/>
      <c r="E89" s="82"/>
      <c r="F89" s="82"/>
      <c r="G89" s="82"/>
    </row>
    <row r="90" spans="1:7" s="11" customFormat="1">
      <c r="A90" s="82"/>
      <c r="B90" s="82"/>
      <c r="C90" s="82"/>
      <c r="D90" s="82"/>
      <c r="E90" s="82"/>
      <c r="F90" s="82"/>
      <c r="G90" s="82"/>
    </row>
    <row r="91" spans="1:7" s="11" customFormat="1">
      <c r="A91" s="82"/>
      <c r="B91" s="82"/>
      <c r="C91" s="82"/>
      <c r="D91" s="82"/>
      <c r="E91" s="82"/>
      <c r="F91" s="82"/>
      <c r="G91" s="82"/>
    </row>
    <row r="92" spans="1:7" s="11" customFormat="1">
      <c r="A92" s="82"/>
      <c r="B92" s="82"/>
      <c r="C92" s="82"/>
      <c r="D92" s="82"/>
      <c r="E92" s="82"/>
      <c r="F92" s="82"/>
      <c r="G92" s="82"/>
    </row>
    <row r="93" spans="1:7" s="11" customFormat="1">
      <c r="A93" s="82"/>
      <c r="B93" s="82"/>
      <c r="C93" s="82"/>
      <c r="D93" s="82"/>
      <c r="E93" s="82"/>
      <c r="F93" s="82"/>
      <c r="G93" s="82"/>
    </row>
    <row r="94" spans="1:7" s="11" customFormat="1">
      <c r="A94" s="82"/>
      <c r="B94" s="82"/>
      <c r="C94" s="82"/>
      <c r="D94" s="82"/>
      <c r="E94" s="82"/>
      <c r="F94" s="82"/>
      <c r="G94" s="82"/>
    </row>
    <row r="95" spans="1:7" s="11" customFormat="1">
      <c r="A95" s="82"/>
      <c r="B95" s="82"/>
      <c r="C95" s="82"/>
      <c r="D95" s="82"/>
      <c r="E95" s="82"/>
      <c r="F95" s="82"/>
      <c r="G95" s="82"/>
    </row>
    <row r="96" spans="1:7" s="11" customFormat="1">
      <c r="A96" s="82"/>
      <c r="B96" s="82"/>
      <c r="C96" s="82"/>
      <c r="D96" s="82"/>
      <c r="E96" s="82"/>
      <c r="F96" s="82"/>
      <c r="G96" s="82"/>
    </row>
    <row r="97" spans="1:7" s="11" customFormat="1">
      <c r="A97" s="82"/>
      <c r="B97" s="82"/>
      <c r="C97" s="82"/>
      <c r="D97" s="82"/>
      <c r="E97" s="82"/>
      <c r="F97" s="82"/>
      <c r="G97" s="82"/>
    </row>
    <row r="98" spans="1:7" s="11" customFormat="1">
      <c r="A98" s="82"/>
      <c r="B98" s="82"/>
      <c r="C98" s="82"/>
      <c r="D98" s="82"/>
      <c r="E98" s="82"/>
      <c r="F98" s="82"/>
      <c r="G98" s="82"/>
    </row>
    <row r="99" spans="1:7" s="11" customFormat="1">
      <c r="A99" s="82"/>
      <c r="B99" s="82"/>
      <c r="C99" s="82"/>
      <c r="D99" s="82"/>
      <c r="E99" s="82"/>
      <c r="F99" s="82"/>
      <c r="G99" s="82"/>
    </row>
    <row r="100" spans="1:7" s="11" customFormat="1">
      <c r="A100" s="82"/>
      <c r="B100" s="82"/>
      <c r="C100" s="82"/>
      <c r="D100" s="82"/>
      <c r="E100" s="82"/>
      <c r="F100" s="82"/>
      <c r="G100" s="82"/>
    </row>
    <row r="101" spans="1:7" s="11" customFormat="1">
      <c r="A101" s="82"/>
      <c r="B101" s="82"/>
      <c r="C101" s="82"/>
      <c r="D101" s="82"/>
      <c r="E101" s="82"/>
      <c r="F101" s="82"/>
      <c r="G101" s="82"/>
    </row>
    <row r="102" spans="1:7" s="11" customFormat="1">
      <c r="A102" s="82"/>
      <c r="B102" s="82"/>
      <c r="C102" s="82"/>
      <c r="D102" s="82"/>
      <c r="E102" s="82"/>
      <c r="F102" s="82"/>
      <c r="G102" s="82"/>
    </row>
    <row r="103" spans="1:7" s="11" customFormat="1">
      <c r="A103" s="82"/>
      <c r="B103" s="82"/>
      <c r="C103" s="82"/>
      <c r="D103" s="82"/>
      <c r="E103" s="82"/>
      <c r="F103" s="82"/>
      <c r="G103" s="82"/>
    </row>
    <row r="104" spans="1:7" s="11" customFormat="1">
      <c r="A104" s="82"/>
      <c r="B104" s="82"/>
      <c r="C104" s="82"/>
      <c r="D104" s="82"/>
      <c r="E104" s="82"/>
      <c r="F104" s="82"/>
      <c r="G104" s="82"/>
    </row>
    <row r="105" spans="1:7" s="11" customFormat="1">
      <c r="A105" s="82"/>
      <c r="B105" s="82"/>
      <c r="C105" s="82"/>
      <c r="D105" s="82"/>
      <c r="E105" s="82"/>
      <c r="F105" s="82"/>
      <c r="G105" s="82"/>
    </row>
    <row r="106" spans="1:7" s="11" customFormat="1">
      <c r="A106" s="82"/>
      <c r="B106" s="82"/>
      <c r="C106" s="82"/>
      <c r="D106" s="82"/>
      <c r="E106" s="82"/>
      <c r="F106" s="82"/>
      <c r="G106" s="82"/>
    </row>
    <row r="107" spans="1:7" s="11" customFormat="1">
      <c r="A107" s="82"/>
      <c r="B107" s="82"/>
      <c r="C107" s="82"/>
      <c r="D107" s="82"/>
      <c r="E107" s="82"/>
      <c r="F107" s="82"/>
      <c r="G107" s="82"/>
    </row>
    <row r="108" spans="1:7" s="11" customFormat="1">
      <c r="A108" s="82"/>
      <c r="B108" s="82"/>
      <c r="C108" s="82"/>
      <c r="D108" s="82"/>
      <c r="E108" s="82"/>
      <c r="F108" s="82"/>
      <c r="G108" s="82"/>
    </row>
    <row r="109" spans="1:7" s="11" customFormat="1">
      <c r="A109" s="82"/>
      <c r="B109" s="82"/>
      <c r="C109" s="82"/>
      <c r="D109" s="82"/>
      <c r="E109" s="82"/>
      <c r="F109" s="82"/>
      <c r="G109" s="82"/>
    </row>
    <row r="110" spans="1:7" s="11" customFormat="1">
      <c r="A110" s="82"/>
      <c r="B110" s="82"/>
      <c r="C110" s="82"/>
      <c r="D110" s="82"/>
      <c r="E110" s="82"/>
      <c r="F110" s="82"/>
      <c r="G110" s="82"/>
    </row>
    <row r="111" spans="1:7" s="11" customFormat="1">
      <c r="A111" s="82"/>
      <c r="B111" s="82"/>
      <c r="C111" s="82"/>
      <c r="D111" s="82"/>
      <c r="E111" s="82"/>
      <c r="F111" s="82"/>
      <c r="G111" s="82"/>
    </row>
    <row r="112" spans="1:7" s="11" customFormat="1">
      <c r="A112" s="82"/>
      <c r="B112" s="82"/>
      <c r="C112" s="82"/>
      <c r="D112" s="82"/>
      <c r="E112" s="82"/>
      <c r="F112" s="82"/>
      <c r="G112" s="82"/>
    </row>
    <row r="113" spans="1:7" s="11" customFormat="1">
      <c r="A113" s="82"/>
      <c r="B113" s="82"/>
      <c r="C113" s="82"/>
      <c r="D113" s="82"/>
      <c r="E113" s="82"/>
      <c r="F113" s="82"/>
      <c r="G113" s="82"/>
    </row>
    <row r="114" spans="1:7" s="11" customFormat="1">
      <c r="A114" s="82"/>
      <c r="B114" s="82"/>
      <c r="C114" s="82"/>
      <c r="D114" s="82"/>
      <c r="E114" s="82"/>
      <c r="F114" s="82"/>
      <c r="G114" s="82"/>
    </row>
    <row r="115" spans="1:7" s="11" customFormat="1">
      <c r="A115" s="82"/>
      <c r="B115" s="82"/>
      <c r="C115" s="82"/>
      <c r="D115" s="82"/>
      <c r="E115" s="82"/>
      <c r="F115" s="82"/>
      <c r="G115" s="82"/>
    </row>
  </sheetData>
  <sheetProtection password="CE9C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D64 E34:E37 E63 D61:E62 G61:G62 G34:G35 G37 D34:D38 E38:G40 C39:D40 C41:G56" name="Plage1_11"/>
  </protectedRanges>
  <customSheetViews>
    <customSheetView guid="{242414E6-120C-46C4-A8A3-88F120C813D3}" scale="75" showPageBreaks="1" showGridLines="0" showRowCol="0" fitToPage="1" printArea="1" topLeftCell="A61">
      <selection activeCell="J76" sqref="A1:J76"/>
      <pageMargins left="0.19685039370078741" right="0" top="0.39370078740157483" bottom="0" header="0.31496062992125984" footer="0.31496062992125984"/>
      <pageSetup paperSize="9" scale="40" orientation="portrait" r:id="rId1"/>
      <headerFooter>
        <oddHeader>&amp;L&amp;G&amp;R&amp;G</oddHeader>
      </headerFooter>
    </customSheetView>
  </customSheetViews>
  <mergeCells count="22">
    <mergeCell ref="F58:G59"/>
    <mergeCell ref="D57:E57"/>
    <mergeCell ref="D58:E58"/>
    <mergeCell ref="D59:E59"/>
    <mergeCell ref="D23:F23"/>
    <mergeCell ref="D24:F24"/>
    <mergeCell ref="D26:G26"/>
    <mergeCell ref="D5:G5"/>
    <mergeCell ref="F57:G57"/>
    <mergeCell ref="D16:G16"/>
    <mergeCell ref="D17:G17"/>
    <mergeCell ref="D18:G18"/>
    <mergeCell ref="D9:G9"/>
    <mergeCell ref="D15:G15"/>
    <mergeCell ref="D10:E12"/>
    <mergeCell ref="F10:G12"/>
    <mergeCell ref="C29:G32"/>
    <mergeCell ref="D25:G25"/>
    <mergeCell ref="D6:G8"/>
    <mergeCell ref="D19:G19"/>
    <mergeCell ref="D20:G21"/>
    <mergeCell ref="D22:F22"/>
  </mergeCells>
  <conditionalFormatting sqref="C15:C24">
    <cfRule type="containsText" dxfId="8" priority="1" operator="containsText" text="$C$15=&quot;Nom Prénom :&quot;">
      <formula>NOT(ISERROR(SEARCH("$C$15=""Nom Prénom :""",C15)))</formula>
    </cfRule>
  </conditionalFormatting>
  <dataValidations count="12">
    <dataValidation type="list" allowBlank="1" showInputMessage="1" showErrorMessage="1" sqref="D25">
      <formula1>Règlement</formula1>
    </dataValidation>
    <dataValidation type="textLength" operator="greaterThan" allowBlank="1" showInputMessage="1" showErrorMessage="1" sqref="B21">
      <formula1>0</formula1>
    </dataValidation>
    <dataValidation type="list" allowBlank="1" showInputMessage="1" showErrorMessage="1" sqref="A41:A56">
      <formula1>prestations</formula1>
    </dataValidation>
    <dataValidation type="list" allowBlank="1" showInputMessage="1" showErrorMessage="1" sqref="B41:B56">
      <formula1>OFFSET(options,1,MATCH(A41,prestations,0)-1,COUNTA(OFFSET(options,,MATCH(A41,prestations,0)-1))-1)</formula1>
    </dataValidation>
    <dataValidation type="date" operator="equal" allowBlank="1" showInputMessage="1" showErrorMessage="1" sqref="B15">
      <formula1>B15</formula1>
    </dataValidation>
    <dataValidation type="list" allowBlank="1" showInputMessage="1" showErrorMessage="1" sqref="B31">
      <formula1>lieux</formula1>
    </dataValidation>
    <dataValidation type="list" allowBlank="1" showInputMessage="1" showErrorMessage="1" sqref="B39">
      <formula1>Livraison_et_Personnel_TVA_20</formula1>
    </dataValidation>
    <dataValidation type="list" allowBlank="1" showInputMessage="1" showErrorMessage="1" sqref="B40">
      <formula1>Location_de_salle_AURI_TVA_à_20</formula1>
    </dataValidation>
    <dataValidation type="list" allowBlank="1" showInputMessage="1" showErrorMessage="1" sqref="A18">
      <formula1>Type_de_client</formula1>
    </dataValidation>
    <dataValidation type="whole" allowBlank="1" showInputMessage="1" showErrorMessage="1" sqref="B17">
      <formula1>0</formula1>
      <formula2>1000</formula2>
    </dataValidation>
    <dataValidation type="whole" allowBlank="1" showInputMessage="1" showErrorMessage="1" sqref="D19:G19">
      <formula1>0</formula1>
      <formula2>99999</formula2>
    </dataValidation>
    <dataValidation type="whole" allowBlank="1" showInputMessage="1" sqref="B20">
      <formula1>0</formula1>
      <formula2>99999</formula2>
    </dataValidation>
  </dataValidations>
  <printOptions horizontalCentered="1"/>
  <pageMargins left="0.19685039370078741" right="0" top="0.39370078740157483" bottom="0" header="0.31496062992125984" footer="0.31496062992125984"/>
  <pageSetup paperSize="9" scale="43" orientation="portrait" r:id="rId2"/>
  <headerFooter>
    <oddFooter xml:space="preserve">&amp;C&amp;"Arial,Gras"&amp;16AURI Association des Usagers du Restaurant Interministériel 3 et 5, rue Barbet de Jouy  75007 PARIS
URSAFF : PARIS 117 000 001500 258 848 SIRET : 784 295 115 00033 APE : 5629 B IBAN FR76 1820 6000 0400 4909 9300 135  BIC  AGRIFRPP882
</oddFooter>
  </headerFooter>
  <ignoredErrors>
    <ignoredError sqref="D40 D52:D56 D39 G39 A52:B56 A40 C52:C56 A39 C46:C51 C45 C41:C44" unlockedFormula="1"/>
    <ignoredError sqref="C20" formula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114"/>
  <sheetViews>
    <sheetView showGridLines="0" zoomScale="55" zoomScaleNormal="55" workbookViewId="0">
      <selection activeCell="I12" sqref="I12"/>
    </sheetView>
  </sheetViews>
  <sheetFormatPr baseColWidth="10" defaultRowHeight="12.75"/>
  <cols>
    <col min="1" max="1" width="45" style="92" customWidth="1"/>
    <col min="2" max="2" width="59.28515625" style="92" customWidth="1"/>
    <col min="3" max="3" width="23.5703125" style="92" customWidth="1"/>
    <col min="4" max="4" width="18.28515625" style="92" bestFit="1" customWidth="1"/>
    <col min="5" max="5" width="15.42578125" style="92" customWidth="1"/>
    <col min="6" max="6" width="18.140625" style="92" customWidth="1"/>
    <col min="7" max="7" width="30.28515625" style="92" customWidth="1"/>
  </cols>
  <sheetData>
    <row r="1" spans="1:19" ht="31.5" customHeight="1" thickTop="1">
      <c r="A1" s="175"/>
      <c r="B1" s="175"/>
      <c r="C1" s="366" t="s">
        <v>192</v>
      </c>
      <c r="D1" s="367"/>
      <c r="E1" s="367"/>
      <c r="F1" s="358"/>
      <c r="G1" s="359"/>
    </row>
    <row r="2" spans="1:19" ht="31.5" customHeight="1">
      <c r="A2" s="175"/>
      <c r="B2" s="175"/>
      <c r="C2" s="368" t="s">
        <v>189</v>
      </c>
      <c r="D2" s="369"/>
      <c r="E2" s="369"/>
      <c r="F2" s="355">
        <f>+'DEVIS AURI'!F10</f>
        <v>0</v>
      </c>
      <c r="G2" s="356"/>
      <c r="Q2" s="349"/>
      <c r="R2" s="92"/>
      <c r="S2" s="92"/>
    </row>
    <row r="3" spans="1:19" ht="31.5" customHeight="1">
      <c r="A3" s="175"/>
      <c r="B3" s="175"/>
      <c r="C3" s="368" t="s">
        <v>193</v>
      </c>
      <c r="D3" s="369"/>
      <c r="E3" s="369"/>
      <c r="F3" s="360">
        <f>+'DEVIS AURI'!D24</f>
        <v>0</v>
      </c>
      <c r="G3" s="361"/>
      <c r="Q3" s="349"/>
      <c r="R3" s="92"/>
      <c r="S3" s="92"/>
    </row>
    <row r="4" spans="1:19" ht="31.5" customHeight="1" thickBot="1">
      <c r="A4" s="175"/>
      <c r="B4" s="175"/>
      <c r="C4" s="370" t="s">
        <v>194</v>
      </c>
      <c r="D4" s="371"/>
      <c r="E4" s="371"/>
      <c r="F4" s="362">
        <f>+'DEVIS AURI'!D26</f>
        <v>0</v>
      </c>
      <c r="G4" s="363"/>
      <c r="Q4" s="349"/>
      <c r="R4" s="92"/>
      <c r="S4" s="92"/>
    </row>
    <row r="5" spans="1:19" ht="31.5" customHeight="1" thickTop="1">
      <c r="A5" s="175"/>
      <c r="B5" s="175"/>
      <c r="C5" s="175"/>
      <c r="D5" s="175"/>
      <c r="E5" s="175"/>
      <c r="F5" s="175"/>
      <c r="G5" s="175"/>
      <c r="Q5" s="349"/>
      <c r="R5" s="92"/>
      <c r="S5" s="92"/>
    </row>
    <row r="6" spans="1:19" ht="31.5" customHeight="1">
      <c r="A6" s="175"/>
      <c r="B6" s="175"/>
      <c r="C6" s="175"/>
      <c r="D6" s="175"/>
      <c r="E6" s="175"/>
      <c r="F6" s="175"/>
      <c r="G6" s="175"/>
      <c r="Q6" s="349"/>
      <c r="R6" s="349"/>
      <c r="S6" s="349"/>
    </row>
    <row r="7" spans="1:19" ht="31.5" customHeight="1">
      <c r="A7" s="175"/>
      <c r="B7" s="175"/>
      <c r="C7" s="175"/>
      <c r="D7" s="175"/>
      <c r="E7" s="175"/>
      <c r="F7" s="175"/>
      <c r="G7" s="175"/>
      <c r="Q7" s="349"/>
      <c r="R7" s="349"/>
      <c r="S7" s="349"/>
    </row>
    <row r="8" spans="1:19" ht="30" customHeight="1">
      <c r="A8" s="175"/>
      <c r="B8" s="175"/>
      <c r="C8" s="175"/>
      <c r="D8" s="175"/>
      <c r="E8" s="175"/>
      <c r="F8" s="175"/>
      <c r="G8" s="175"/>
    </row>
    <row r="9" spans="1:19" ht="30" customHeight="1">
      <c r="A9" s="175"/>
      <c r="B9" s="175"/>
      <c r="C9" s="175"/>
      <c r="D9" s="175"/>
      <c r="E9" s="175"/>
      <c r="F9" s="175"/>
      <c r="G9" s="175"/>
    </row>
    <row r="10" spans="1:19" ht="46.5">
      <c r="C10" s="175"/>
      <c r="D10" s="352">
        <f>+'DEVIS AURI'!D15</f>
        <v>0</v>
      </c>
      <c r="E10" s="352"/>
      <c r="F10" s="352"/>
      <c r="G10" s="352"/>
    </row>
    <row r="11" spans="1:19" ht="46.5">
      <c r="A11" s="353" t="s">
        <v>6</v>
      </c>
      <c r="B11" s="353"/>
      <c r="C11" s="175"/>
      <c r="D11" s="354">
        <f>+'DEVIS AURI'!D16</f>
        <v>0</v>
      </c>
      <c r="E11" s="354"/>
      <c r="F11" s="354"/>
      <c r="G11" s="354"/>
    </row>
    <row r="12" spans="1:19" ht="46.5">
      <c r="A12" s="176" t="s">
        <v>161</v>
      </c>
      <c r="B12" s="177">
        <f>+'DEVIS AURI'!B16</f>
        <v>0</v>
      </c>
      <c r="C12" s="175"/>
      <c r="D12" s="352">
        <f>+'DEVIS AURI'!D17</f>
        <v>0</v>
      </c>
      <c r="E12" s="352"/>
      <c r="F12" s="352"/>
      <c r="G12" s="352"/>
    </row>
    <row r="13" spans="1:19" s="30" customFormat="1" ht="27" customHeight="1">
      <c r="A13" s="178" t="str">
        <f>+'DEVIS AURI'!A18</f>
        <v>Nom Prénom :</v>
      </c>
      <c r="B13" s="177">
        <f>+'DEVIS AURI'!B18</f>
        <v>0</v>
      </c>
      <c r="C13" s="179"/>
      <c r="D13" s="352">
        <f>+'DEVIS AURI'!D18</f>
        <v>0</v>
      </c>
      <c r="E13" s="352"/>
      <c r="F13" s="354">
        <f>+'DEVIS AURI'!D19</f>
        <v>0</v>
      </c>
      <c r="G13" s="354"/>
    </row>
    <row r="14" spans="1:19" s="30" customFormat="1" ht="20.100000000000001" customHeight="1">
      <c r="A14" s="178" t="str">
        <f>+'DEVIS AURI'!A19</f>
        <v>Adresse :</v>
      </c>
      <c r="B14" s="177">
        <f>+'DEVIS AURI'!B19</f>
        <v>0</v>
      </c>
      <c r="C14" s="180"/>
      <c r="D14" s="181"/>
      <c r="E14" s="182"/>
      <c r="F14" s="182"/>
      <c r="G14" s="182"/>
      <c r="R14" s="102"/>
      <c r="S14" s="87"/>
    </row>
    <row r="15" spans="1:19" s="16" customFormat="1" ht="38.25" customHeight="1">
      <c r="A15" s="178" t="str">
        <f>+'DEVIS AURI'!A20</f>
        <v>Code Postal :</v>
      </c>
      <c r="B15" s="177">
        <f>+'DEVIS AURI'!B20</f>
        <v>0</v>
      </c>
      <c r="C15" s="183"/>
      <c r="D15" s="184"/>
      <c r="E15" s="184"/>
      <c r="F15" s="184"/>
      <c r="G15" s="184"/>
      <c r="R15" s="103"/>
      <c r="S15" s="87"/>
    </row>
    <row r="16" spans="1:19" s="31" customFormat="1" ht="36.75" customHeight="1">
      <c r="A16" s="178" t="str">
        <f>+'DEVIS AURI'!A21</f>
        <v>Ville :</v>
      </c>
      <c r="B16" s="177">
        <f>+'DEVIS AURI'!B21</f>
        <v>0</v>
      </c>
      <c r="C16" s="183"/>
      <c r="D16" s="185"/>
      <c r="E16" s="185"/>
      <c r="F16" s="185"/>
      <c r="G16" s="185"/>
    </row>
    <row r="17" spans="1:13" s="31" customFormat="1" ht="36.75" customHeight="1">
      <c r="A17" s="178" t="str">
        <f>+'DEVIS AURI'!A22</f>
        <v>Organisateur :</v>
      </c>
      <c r="B17" s="177">
        <f>+'DEVIS AURI'!B22</f>
        <v>0</v>
      </c>
      <c r="C17" s="186"/>
      <c r="D17" s="185"/>
      <c r="E17" s="185"/>
      <c r="F17" s="185"/>
      <c r="G17" s="185"/>
    </row>
    <row r="18" spans="1:13" s="30" customFormat="1" ht="36.75" customHeight="1">
      <c r="A18" s="178" t="str">
        <f>+'DEVIS AURI'!A23</f>
        <v>N° de téléphone :</v>
      </c>
      <c r="B18" s="187">
        <f>+'DEVIS AURI'!B23</f>
        <v>0</v>
      </c>
      <c r="C18" s="188"/>
      <c r="D18" s="185"/>
      <c r="E18" s="185"/>
      <c r="F18" s="185"/>
      <c r="G18" s="185"/>
    </row>
    <row r="19" spans="1:13" s="30" customFormat="1" ht="36.75" customHeight="1">
      <c r="A19" s="178" t="str">
        <f>+'DEVIS AURI'!A24</f>
        <v>adresse mail :</v>
      </c>
      <c r="B19" s="189">
        <f>+'DEVIS AURI'!B24</f>
        <v>0</v>
      </c>
      <c r="C19" s="190"/>
      <c r="D19" s="185"/>
      <c r="E19" s="185"/>
      <c r="F19" s="185"/>
      <c r="G19" s="185"/>
    </row>
    <row r="20" spans="1:13" s="11" customFormat="1" ht="11.25" customHeight="1">
      <c r="A20" s="191"/>
      <c r="B20" s="191"/>
      <c r="C20" s="192"/>
      <c r="D20" s="193"/>
      <c r="E20" s="193"/>
      <c r="F20" s="193"/>
      <c r="G20" s="193"/>
    </row>
    <row r="21" spans="1:13" s="11" customFormat="1" ht="19.899999999999999" customHeight="1">
      <c r="A21" s="357" t="s">
        <v>167</v>
      </c>
      <c r="B21" s="357"/>
      <c r="C21" s="194"/>
      <c r="D21" s="195"/>
      <c r="E21" s="195"/>
      <c r="F21" s="195"/>
      <c r="G21" s="195"/>
    </row>
    <row r="22" spans="1:13" s="11" customFormat="1" ht="29.25" customHeight="1">
      <c r="A22" s="357"/>
      <c r="B22" s="357"/>
      <c r="C22" s="180"/>
      <c r="D22" s="196" t="s">
        <v>176</v>
      </c>
      <c r="E22" s="196"/>
      <c r="F22" s="196"/>
      <c r="G22" s="196"/>
    </row>
    <row r="23" spans="1:13" s="11" customFormat="1" ht="29.25" customHeight="1">
      <c r="A23" s="197" t="s">
        <v>195</v>
      </c>
      <c r="B23" s="198">
        <f>+'DEVIS AURI'!D20</f>
        <v>0</v>
      </c>
      <c r="C23" s="199"/>
      <c r="D23" s="351">
        <f ca="1">TODAY()</f>
        <v>42993</v>
      </c>
      <c r="E23" s="351"/>
      <c r="F23" s="196"/>
      <c r="G23" s="196"/>
    </row>
    <row r="24" spans="1:13" s="11" customFormat="1" ht="19.899999999999999" customHeight="1">
      <c r="A24" s="197" t="str">
        <f>+'DEVIS AURI'!C22</f>
        <v/>
      </c>
      <c r="B24" s="200">
        <f>+'DEVIS AURI'!D22</f>
        <v>0</v>
      </c>
      <c r="C24" s="199"/>
      <c r="D24" s="201"/>
      <c r="E24" s="201"/>
      <c r="F24" s="201"/>
      <c r="G24" s="201"/>
    </row>
    <row r="25" spans="1:13" s="11" customFormat="1" ht="23.25">
      <c r="A25" s="197" t="str">
        <f>+'DEVIS AURI'!C23</f>
        <v/>
      </c>
      <c r="B25" s="198">
        <f>+'DEVIS AURI'!D23</f>
        <v>0</v>
      </c>
      <c r="C25" s="202"/>
      <c r="D25" s="202"/>
      <c r="E25" s="202"/>
      <c r="F25" s="202"/>
      <c r="G25" s="202"/>
    </row>
    <row r="26" spans="1:13" s="11" customFormat="1" ht="23.25">
      <c r="A26" s="197" t="str">
        <f>+'DEVIS AURI'!C25</f>
        <v>Mode de règlement :</v>
      </c>
      <c r="B26" s="198" t="str">
        <f>+'DEVIS AURI'!D25</f>
        <v>Mode de règlement</v>
      </c>
      <c r="C26" s="202"/>
      <c r="D26" s="202"/>
      <c r="E26" s="202"/>
      <c r="F26" s="202"/>
      <c r="G26" s="202"/>
    </row>
    <row r="27" spans="1:13" s="11" customFormat="1" ht="23.25">
      <c r="A27" s="203"/>
      <c r="B27" s="198" t="str">
        <f>IF(ISBLANK('DEVIS AURI'!E26),"",'DEVIS AURI'!E26)</f>
        <v/>
      </c>
      <c r="C27" s="202"/>
      <c r="D27" s="202"/>
      <c r="E27" s="202"/>
      <c r="F27" s="202"/>
      <c r="G27" s="202"/>
    </row>
    <row r="28" spans="1:13" s="68" customFormat="1" ht="38.450000000000003" customHeight="1">
      <c r="A28" s="350" t="s">
        <v>12</v>
      </c>
      <c r="B28" s="350"/>
      <c r="C28" s="350"/>
      <c r="D28" s="350"/>
      <c r="E28" s="350"/>
      <c r="F28" s="350"/>
      <c r="G28" s="350"/>
      <c r="M28" s="104"/>
    </row>
    <row r="29" spans="1:13" s="68" customFormat="1" ht="20.100000000000001" customHeight="1">
      <c r="A29" s="204"/>
      <c r="B29" s="204"/>
      <c r="C29" s="204"/>
      <c r="D29" s="204"/>
      <c r="E29" s="204"/>
      <c r="F29" s="204"/>
      <c r="G29" s="204"/>
    </row>
    <row r="30" spans="1:13" s="68" customFormat="1" ht="20.100000000000001" customHeight="1">
      <c r="A30" s="205" t="s">
        <v>152</v>
      </c>
      <c r="B30" s="206">
        <f>+'DEVIS AURI'!B29</f>
        <v>0</v>
      </c>
      <c r="C30" s="207"/>
      <c r="D30" s="208"/>
      <c r="E30" s="207"/>
      <c r="F30" s="207"/>
      <c r="G30" s="207"/>
    </row>
    <row r="31" spans="1:13" s="68" customFormat="1" ht="20.100000000000001" customHeight="1">
      <c r="A31" s="205" t="s">
        <v>156</v>
      </c>
      <c r="B31" s="209">
        <f>+'DEVIS AURI'!B30</f>
        <v>0</v>
      </c>
      <c r="C31" s="210"/>
      <c r="D31" s="211"/>
      <c r="E31" s="212"/>
      <c r="F31" s="207"/>
      <c r="G31" s="207"/>
    </row>
    <row r="32" spans="1:13" s="68" customFormat="1" ht="20.100000000000001" customHeight="1">
      <c r="A32" s="213" t="s">
        <v>160</v>
      </c>
      <c r="B32" s="206" t="str">
        <f>+'DEVIS AURI'!B31</f>
        <v>Choisir un lieu</v>
      </c>
      <c r="C32" s="207"/>
      <c r="D32" s="211"/>
      <c r="E32" s="212"/>
      <c r="F32" s="207"/>
      <c r="G32" s="207"/>
    </row>
    <row r="33" spans="1:7" s="68" customFormat="1" ht="20.100000000000001" customHeight="1">
      <c r="A33" s="214" t="s">
        <v>20</v>
      </c>
      <c r="B33" s="206" t="str">
        <f>+'DEVIS AURI'!B32</f>
        <v/>
      </c>
      <c r="C33" s="204"/>
      <c r="D33" s="204"/>
      <c r="E33" s="204"/>
      <c r="F33" s="204"/>
      <c r="G33" s="204"/>
    </row>
    <row r="34" spans="1:7" s="11" customFormat="1" ht="18" customHeight="1">
      <c r="A34" s="215"/>
      <c r="B34" s="216"/>
      <c r="C34" s="215"/>
      <c r="D34" s="215"/>
      <c r="E34" s="215"/>
      <c r="F34" s="215"/>
      <c r="G34" s="215"/>
    </row>
    <row r="35" spans="1:7" s="11" customFormat="1" ht="0.75" customHeight="1">
      <c r="A35" s="175"/>
      <c r="B35" s="217"/>
      <c r="C35" s="175"/>
      <c r="D35" s="175"/>
      <c r="E35" s="175"/>
      <c r="F35" s="175"/>
      <c r="G35" s="175"/>
    </row>
    <row r="36" spans="1:7" s="11" customFormat="1" ht="61.5" customHeight="1">
      <c r="A36" s="218" t="s">
        <v>82</v>
      </c>
      <c r="B36" s="219"/>
      <c r="C36" s="220"/>
      <c r="D36" s="220"/>
      <c r="E36" s="220"/>
      <c r="F36" s="220"/>
      <c r="G36" s="221"/>
    </row>
    <row r="37" spans="1:7" s="11" customFormat="1" ht="52.5" customHeight="1">
      <c r="A37" s="222" t="s">
        <v>171</v>
      </c>
      <c r="B37" s="222" t="s">
        <v>1</v>
      </c>
      <c r="C37" s="222" t="s">
        <v>0</v>
      </c>
      <c r="D37" s="222" t="s">
        <v>2</v>
      </c>
      <c r="E37" s="222" t="s">
        <v>4</v>
      </c>
      <c r="F37" s="222" t="s">
        <v>87</v>
      </c>
      <c r="G37" s="223" t="s">
        <v>11</v>
      </c>
    </row>
    <row r="38" spans="1:7" s="30" customFormat="1" ht="32.1" customHeight="1">
      <c r="A38" s="224" t="str">
        <f>IF(ISBLANK('DEVIS AURI'!A39),"",'DEVIS AURI'!A39)</f>
        <v>Livraison et Personnel TVA 20 %</v>
      </c>
      <c r="B38" s="224" t="str">
        <f>IF(ISBLANK('DEVIS AURI'!B39),"",'DEVIS AURI'!B39)</f>
        <v/>
      </c>
      <c r="C38" s="224" t="str">
        <f>IF(ISBLANK('DEVIS AURI'!C39),"",'DEVIS AURI'!C39)</f>
        <v/>
      </c>
      <c r="D38" s="288" t="str">
        <f>IF(ISBLANK('DEVIS AURI'!D39),"",'DEVIS AURI'!D39)</f>
        <v/>
      </c>
      <c r="E38" s="288" t="str">
        <f>IF(ISBLANK('DEVIS AURI'!E39),"",'DEVIS AURI'!E39)</f>
        <v/>
      </c>
      <c r="F38" s="224" t="str">
        <f>IF(ISBLANK('DEVIS AURI'!F39),"",'DEVIS AURI'!F39)</f>
        <v/>
      </c>
      <c r="G38" s="288" t="str">
        <f>IF(ISBLANK('DEVIS AURI'!G39),"",'DEVIS AURI'!G39)</f>
        <v/>
      </c>
    </row>
    <row r="39" spans="1:7" s="30" customFormat="1" ht="18.75">
      <c r="A39" s="224" t="str">
        <f>IF(ISBLANK('DEVIS AURI'!A40),"",'DEVIS AURI'!A40)</f>
        <v>Location de salle AURI TVA à 20%</v>
      </c>
      <c r="B39" s="224" t="str">
        <f>IF(ISBLANK('DEVIS AURI'!B40),"",'DEVIS AURI'!B40)</f>
        <v/>
      </c>
      <c r="C39" s="224" t="str">
        <f>IF(ISBLANK('DEVIS AURI'!C40),"",'DEVIS AURI'!C40)</f>
        <v/>
      </c>
      <c r="D39" s="288" t="str">
        <f>IF(ISBLANK('DEVIS AURI'!D40),"",'DEVIS AURI'!D40)</f>
        <v/>
      </c>
      <c r="E39" s="288" t="str">
        <f>IF(ISBLANK('DEVIS AURI'!E40),"",'DEVIS AURI'!E40)</f>
        <v/>
      </c>
      <c r="F39" s="224" t="str">
        <f>IF(ISBLANK('DEVIS AURI'!F40),"",'DEVIS AURI'!F40)</f>
        <v/>
      </c>
      <c r="G39" s="288" t="str">
        <f>IF(ISBLANK('DEVIS AURI'!G40),"",'DEVIS AURI'!G40)</f>
        <v/>
      </c>
    </row>
    <row r="40" spans="1:7" s="30" customFormat="1" ht="32.1" customHeight="1">
      <c r="A40" s="224" t="str">
        <f>IF(ISBLANK('DEVIS AURI'!A41),"",'DEVIS AURI'!A41)</f>
        <v/>
      </c>
      <c r="B40" s="224" t="str">
        <f>IF(ISBLANK('DEVIS AURI'!B41),"",'DEVIS AURI'!B41)</f>
        <v/>
      </c>
      <c r="C40" s="224" t="str">
        <f>IF(ISBLANK('DEVIS AURI'!C41),"",'DEVIS AURI'!C41)</f>
        <v/>
      </c>
      <c r="D40" s="288" t="str">
        <f>IF(ISBLANK('DEVIS AURI'!D41),"",'DEVIS AURI'!D41)</f>
        <v/>
      </c>
      <c r="E40" s="288" t="str">
        <f>IF(ISBLANK('DEVIS AURI'!E41),"",'DEVIS AURI'!E41)</f>
        <v/>
      </c>
      <c r="F40" s="224" t="str">
        <f>IF(ISBLANK('DEVIS AURI'!F41),"",'DEVIS AURI'!F41)</f>
        <v/>
      </c>
      <c r="G40" s="288" t="str">
        <f>IF(ISBLANK('DEVIS AURI'!G41),"",'DEVIS AURI'!G41)</f>
        <v/>
      </c>
    </row>
    <row r="41" spans="1:7" s="30" customFormat="1" ht="32.1" customHeight="1">
      <c r="A41" s="224" t="str">
        <f>IF(ISBLANK('DEVIS AURI'!A42),"",'DEVIS AURI'!A42)</f>
        <v/>
      </c>
      <c r="B41" s="224" t="str">
        <f>IF(ISBLANK('DEVIS AURI'!B42),"",'DEVIS AURI'!B42)</f>
        <v/>
      </c>
      <c r="C41" s="224" t="str">
        <f>IF(ISBLANK('DEVIS AURI'!C42),"",'DEVIS AURI'!C42)</f>
        <v/>
      </c>
      <c r="D41" s="288" t="str">
        <f>IF(ISBLANK('DEVIS AURI'!D42),"",'DEVIS AURI'!D42)</f>
        <v/>
      </c>
      <c r="E41" s="288" t="str">
        <f>IF(ISBLANK('DEVIS AURI'!E42),"",'DEVIS AURI'!E42)</f>
        <v/>
      </c>
      <c r="F41" s="224" t="str">
        <f>IF(ISBLANK('DEVIS AURI'!F42),"",'DEVIS AURI'!F42)</f>
        <v/>
      </c>
      <c r="G41" s="288" t="str">
        <f>IF(ISBLANK('DEVIS AURI'!G42),"",'DEVIS AURI'!G42)</f>
        <v/>
      </c>
    </row>
    <row r="42" spans="1:7" s="30" customFormat="1" ht="32.1" customHeight="1">
      <c r="A42" s="224" t="str">
        <f>IF(ISBLANK('DEVIS AURI'!A43),"",'DEVIS AURI'!A43)</f>
        <v/>
      </c>
      <c r="B42" s="224" t="str">
        <f>IF(ISBLANK('DEVIS AURI'!B43),"",'DEVIS AURI'!B43)</f>
        <v/>
      </c>
      <c r="C42" s="224" t="str">
        <f>IF(ISBLANK('DEVIS AURI'!C43),"",'DEVIS AURI'!C43)</f>
        <v/>
      </c>
      <c r="D42" s="288" t="str">
        <f>IF(ISBLANK('DEVIS AURI'!D43),"",'DEVIS AURI'!D43)</f>
        <v/>
      </c>
      <c r="E42" s="288" t="str">
        <f>IF(ISBLANK('DEVIS AURI'!E43),"",'DEVIS AURI'!E43)</f>
        <v/>
      </c>
      <c r="F42" s="224" t="str">
        <f>IF(ISBLANK('DEVIS AURI'!F43),"",'DEVIS AURI'!F43)</f>
        <v/>
      </c>
      <c r="G42" s="288" t="str">
        <f>IF(ISBLANK('DEVIS AURI'!G43),"",'DEVIS AURI'!G43)</f>
        <v/>
      </c>
    </row>
    <row r="43" spans="1:7" s="30" customFormat="1" ht="32.1" customHeight="1">
      <c r="A43" s="224" t="str">
        <f>IF(ISBLANK('DEVIS AURI'!A44),"",'DEVIS AURI'!A44)</f>
        <v/>
      </c>
      <c r="B43" s="224" t="str">
        <f>IF(ISBLANK('DEVIS AURI'!B44),"",'DEVIS AURI'!B44)</f>
        <v/>
      </c>
      <c r="C43" s="224" t="str">
        <f>IF(ISBLANK('DEVIS AURI'!C44),"",'DEVIS AURI'!C44)</f>
        <v/>
      </c>
      <c r="D43" s="288" t="str">
        <f>IF(ISBLANK('DEVIS AURI'!D44),"",'DEVIS AURI'!D44)</f>
        <v/>
      </c>
      <c r="E43" s="288" t="str">
        <f>IF(ISBLANK('DEVIS AURI'!E44),"",'DEVIS AURI'!E44)</f>
        <v/>
      </c>
      <c r="F43" s="224" t="str">
        <f>IF(ISBLANK('DEVIS AURI'!F44),"",'DEVIS AURI'!F44)</f>
        <v/>
      </c>
      <c r="G43" s="288" t="str">
        <f>IF(ISBLANK('DEVIS AURI'!G44),"",'DEVIS AURI'!G44)</f>
        <v/>
      </c>
    </row>
    <row r="44" spans="1:7" s="30" customFormat="1" ht="32.1" customHeight="1">
      <c r="A44" s="224" t="str">
        <f>IF(ISBLANK('DEVIS AURI'!A45),"",'DEVIS AURI'!A45)</f>
        <v/>
      </c>
      <c r="B44" s="224" t="str">
        <f>IF(ISBLANK('DEVIS AURI'!B45),"",'DEVIS AURI'!B45)</f>
        <v/>
      </c>
      <c r="C44" s="224" t="str">
        <f>IF(ISBLANK('DEVIS AURI'!C45),"",'DEVIS AURI'!C45)</f>
        <v/>
      </c>
      <c r="D44" s="288" t="str">
        <f>IF(ISBLANK('DEVIS AURI'!D45),"",'DEVIS AURI'!D45)</f>
        <v/>
      </c>
      <c r="E44" s="288" t="str">
        <f>IF(ISBLANK('DEVIS AURI'!E45),"",'DEVIS AURI'!E45)</f>
        <v/>
      </c>
      <c r="F44" s="224" t="str">
        <f>IF(ISBLANK('DEVIS AURI'!F45),"",'DEVIS AURI'!F45)</f>
        <v/>
      </c>
      <c r="G44" s="288" t="str">
        <f>IF(ISBLANK('DEVIS AURI'!G45),"",'DEVIS AURI'!G45)</f>
        <v/>
      </c>
    </row>
    <row r="45" spans="1:7" s="30" customFormat="1" ht="32.1" customHeight="1">
      <c r="A45" s="224" t="str">
        <f>IF(ISBLANK('DEVIS AURI'!A46),"",'DEVIS AURI'!A46)</f>
        <v/>
      </c>
      <c r="B45" s="224" t="str">
        <f>IF(ISBLANK('DEVIS AURI'!B46),"",'DEVIS AURI'!B46)</f>
        <v/>
      </c>
      <c r="C45" s="224" t="str">
        <f>IF(ISBLANK('DEVIS AURI'!C46),"",'DEVIS AURI'!C46)</f>
        <v/>
      </c>
      <c r="D45" s="288" t="str">
        <f>IF(ISBLANK('DEVIS AURI'!D46),"",'DEVIS AURI'!D46)</f>
        <v/>
      </c>
      <c r="E45" s="288" t="str">
        <f>IF(ISBLANK('DEVIS AURI'!E46),"",'DEVIS AURI'!E46)</f>
        <v/>
      </c>
      <c r="F45" s="224" t="str">
        <f>IF(ISBLANK('DEVIS AURI'!F46),"",'DEVIS AURI'!F46)</f>
        <v/>
      </c>
      <c r="G45" s="288" t="str">
        <f>IF(ISBLANK('DEVIS AURI'!G46),"",'DEVIS AURI'!G46)</f>
        <v/>
      </c>
    </row>
    <row r="46" spans="1:7" s="30" customFormat="1" ht="32.1" customHeight="1">
      <c r="A46" s="224" t="str">
        <f>IF(ISBLANK('DEVIS AURI'!A47),"",'DEVIS AURI'!A47)</f>
        <v/>
      </c>
      <c r="B46" s="224" t="str">
        <f>IF(ISBLANK('DEVIS AURI'!B47),"",'DEVIS AURI'!B47)</f>
        <v/>
      </c>
      <c r="C46" s="224" t="str">
        <f>IF(ISBLANK('DEVIS AURI'!C47),"",'DEVIS AURI'!C47)</f>
        <v/>
      </c>
      <c r="D46" s="288" t="str">
        <f>IF(ISBLANK('DEVIS AURI'!D47),"",'DEVIS AURI'!D47)</f>
        <v/>
      </c>
      <c r="E46" s="288" t="str">
        <f>IF(ISBLANK('DEVIS AURI'!E47),"",'DEVIS AURI'!E47)</f>
        <v/>
      </c>
      <c r="F46" s="224" t="str">
        <f>IF(ISBLANK('DEVIS AURI'!F47),"",'DEVIS AURI'!F47)</f>
        <v/>
      </c>
      <c r="G46" s="288" t="str">
        <f>IF(ISBLANK('DEVIS AURI'!G47),"",'DEVIS AURI'!G47)</f>
        <v/>
      </c>
    </row>
    <row r="47" spans="1:7" s="30" customFormat="1" ht="32.1" customHeight="1">
      <c r="A47" s="224" t="str">
        <f>IF(ISBLANK('DEVIS AURI'!A48),"",'DEVIS AURI'!A48)</f>
        <v/>
      </c>
      <c r="B47" s="224" t="str">
        <f>IF(ISBLANK('DEVIS AURI'!B48),"",'DEVIS AURI'!B48)</f>
        <v/>
      </c>
      <c r="C47" s="224" t="str">
        <f>IF(ISBLANK('DEVIS AURI'!C48),"",'DEVIS AURI'!C48)</f>
        <v/>
      </c>
      <c r="D47" s="288" t="str">
        <f>IF(ISBLANK('DEVIS AURI'!D48),"",'DEVIS AURI'!D48)</f>
        <v/>
      </c>
      <c r="E47" s="288" t="str">
        <f>IF(ISBLANK('DEVIS AURI'!E48),"",'DEVIS AURI'!E48)</f>
        <v/>
      </c>
      <c r="F47" s="224" t="str">
        <f>IF(ISBLANK('DEVIS AURI'!F48),"",'DEVIS AURI'!F48)</f>
        <v/>
      </c>
      <c r="G47" s="288" t="str">
        <f>IF(ISBLANK('DEVIS AURI'!G48),"",'DEVIS AURI'!G48)</f>
        <v/>
      </c>
    </row>
    <row r="48" spans="1:7" s="30" customFormat="1" ht="32.1" customHeight="1">
      <c r="A48" s="224" t="str">
        <f>IF(ISBLANK('DEVIS AURI'!A49),"",'DEVIS AURI'!A49)</f>
        <v/>
      </c>
      <c r="B48" s="224" t="str">
        <f>IF(ISBLANK('DEVIS AURI'!B49),"",'DEVIS AURI'!B49)</f>
        <v/>
      </c>
      <c r="C48" s="224" t="str">
        <f>IF(ISBLANK('DEVIS AURI'!C49),"",'DEVIS AURI'!C49)</f>
        <v/>
      </c>
      <c r="D48" s="288" t="str">
        <f>IF(ISBLANK('DEVIS AURI'!D49),"",'DEVIS AURI'!D49)</f>
        <v/>
      </c>
      <c r="E48" s="288" t="str">
        <f>IF(ISBLANK('DEVIS AURI'!E49),"",'DEVIS AURI'!E49)</f>
        <v/>
      </c>
      <c r="F48" s="224" t="str">
        <f>IF(ISBLANK('DEVIS AURI'!F49),"",'DEVIS AURI'!F49)</f>
        <v/>
      </c>
      <c r="G48" s="288" t="str">
        <f>IF(ISBLANK('DEVIS AURI'!G49),"",'DEVIS AURI'!G49)</f>
        <v/>
      </c>
    </row>
    <row r="49" spans="1:7" s="30" customFormat="1" ht="32.1" customHeight="1">
      <c r="A49" s="224" t="str">
        <f>IF(ISBLANK('DEVIS AURI'!A50),"",'DEVIS AURI'!A50)</f>
        <v/>
      </c>
      <c r="B49" s="224" t="str">
        <f>IF(ISBLANK('DEVIS AURI'!B50),"",'DEVIS AURI'!B50)</f>
        <v/>
      </c>
      <c r="C49" s="224" t="str">
        <f>IF(ISBLANK('DEVIS AURI'!C50),"",'DEVIS AURI'!C50)</f>
        <v/>
      </c>
      <c r="D49" s="288" t="str">
        <f>IF(ISBLANK('DEVIS AURI'!D50),"",'DEVIS AURI'!D50)</f>
        <v/>
      </c>
      <c r="E49" s="288" t="str">
        <f>IF(ISBLANK('DEVIS AURI'!E50),"",'DEVIS AURI'!E50)</f>
        <v/>
      </c>
      <c r="F49" s="224" t="str">
        <f>IF(ISBLANK('DEVIS AURI'!F50),"",'DEVIS AURI'!F50)</f>
        <v/>
      </c>
      <c r="G49" s="288" t="str">
        <f>IF(ISBLANK('DEVIS AURI'!G50),"",'DEVIS AURI'!G50)</f>
        <v/>
      </c>
    </row>
    <row r="50" spans="1:7" s="30" customFormat="1" ht="32.1" customHeight="1">
      <c r="A50" s="224" t="str">
        <f>IF(ISBLANK('DEVIS AURI'!A51),"",'DEVIS AURI'!A51)</f>
        <v/>
      </c>
      <c r="B50" s="224" t="str">
        <f>IF(ISBLANK('DEVIS AURI'!B51),"",'DEVIS AURI'!B51)</f>
        <v/>
      </c>
      <c r="C50" s="224" t="str">
        <f>IF(ISBLANK('DEVIS AURI'!C51),"",'DEVIS AURI'!C51)</f>
        <v/>
      </c>
      <c r="D50" s="288" t="str">
        <f>IF(ISBLANK('DEVIS AURI'!D51),"",'DEVIS AURI'!D51)</f>
        <v/>
      </c>
      <c r="E50" s="288" t="str">
        <f>IF(ISBLANK('DEVIS AURI'!E51),"",'DEVIS AURI'!E51)</f>
        <v/>
      </c>
      <c r="F50" s="224" t="str">
        <f>IF(ISBLANK('DEVIS AURI'!F51),"",'DEVIS AURI'!F51)</f>
        <v/>
      </c>
      <c r="G50" s="288" t="str">
        <f>IF(ISBLANK('DEVIS AURI'!G51),"",'DEVIS AURI'!G51)</f>
        <v/>
      </c>
    </row>
    <row r="51" spans="1:7" s="30" customFormat="1" ht="32.1" customHeight="1">
      <c r="A51" s="224" t="str">
        <f>IF(ISBLANK('DEVIS AURI'!A52),"",'DEVIS AURI'!A52)</f>
        <v/>
      </c>
      <c r="B51" s="224" t="str">
        <f>IF(ISBLANK('DEVIS AURI'!B52),"",'DEVIS AURI'!B52)</f>
        <v/>
      </c>
      <c r="C51" s="224" t="str">
        <f>IF(ISBLANK('DEVIS AURI'!C52),"",'DEVIS AURI'!C52)</f>
        <v/>
      </c>
      <c r="D51" s="288" t="str">
        <f>IF(ISBLANK('DEVIS AURI'!D52),"",'DEVIS AURI'!D52)</f>
        <v/>
      </c>
      <c r="E51" s="288" t="str">
        <f>IF(ISBLANK('DEVIS AURI'!E52),"",'DEVIS AURI'!E52)</f>
        <v/>
      </c>
      <c r="F51" s="224" t="str">
        <f>IF(ISBLANK('DEVIS AURI'!F52),"",'DEVIS AURI'!F52)</f>
        <v/>
      </c>
      <c r="G51" s="288" t="str">
        <f>IF(ISBLANK('DEVIS AURI'!G52),"",'DEVIS AURI'!G52)</f>
        <v/>
      </c>
    </row>
    <row r="52" spans="1:7" s="30" customFormat="1" ht="32.1" customHeight="1">
      <c r="A52" s="224" t="str">
        <f>IF(ISBLANK('DEVIS AURI'!A53),"",'DEVIS AURI'!A53)</f>
        <v/>
      </c>
      <c r="B52" s="224" t="str">
        <f>IF(ISBLANK('DEVIS AURI'!B53),"",'DEVIS AURI'!B53)</f>
        <v/>
      </c>
      <c r="C52" s="224" t="str">
        <f>IF(ISBLANK('DEVIS AURI'!C53),"",'DEVIS AURI'!C53)</f>
        <v/>
      </c>
      <c r="D52" s="288" t="str">
        <f>IF(ISBLANK('DEVIS AURI'!D53),"",'DEVIS AURI'!D53)</f>
        <v/>
      </c>
      <c r="E52" s="288" t="str">
        <f>IF(ISBLANK('DEVIS AURI'!E53),"",'DEVIS AURI'!E53)</f>
        <v/>
      </c>
      <c r="F52" s="224" t="str">
        <f>IF(ISBLANK('DEVIS AURI'!F53),"",'DEVIS AURI'!F53)</f>
        <v/>
      </c>
      <c r="G52" s="288" t="str">
        <f>IF(ISBLANK('DEVIS AURI'!G53),"",'DEVIS AURI'!G53)</f>
        <v/>
      </c>
    </row>
    <row r="53" spans="1:7" s="30" customFormat="1" ht="32.1" customHeight="1">
      <c r="A53" s="224" t="str">
        <f>IF(ISBLANK('DEVIS AURI'!A54),"",'DEVIS AURI'!A54)</f>
        <v/>
      </c>
      <c r="B53" s="224" t="str">
        <f>IF(ISBLANK('DEVIS AURI'!B54),"",'DEVIS AURI'!B54)</f>
        <v/>
      </c>
      <c r="C53" s="224" t="str">
        <f>IF(ISBLANK('DEVIS AURI'!C54),"",'DEVIS AURI'!C54)</f>
        <v/>
      </c>
      <c r="D53" s="288" t="str">
        <f>IF(ISBLANK('DEVIS AURI'!D54),"",'DEVIS AURI'!D54)</f>
        <v/>
      </c>
      <c r="E53" s="288" t="str">
        <f>IF(ISBLANK('DEVIS AURI'!E54),"",'DEVIS AURI'!E54)</f>
        <v/>
      </c>
      <c r="F53" s="224" t="str">
        <f>IF(ISBLANK('DEVIS AURI'!F54),"",'DEVIS AURI'!F54)</f>
        <v/>
      </c>
      <c r="G53" s="288" t="str">
        <f>IF(ISBLANK('DEVIS AURI'!G54),"",'DEVIS AURI'!G54)</f>
        <v/>
      </c>
    </row>
    <row r="54" spans="1:7" s="30" customFormat="1" ht="32.1" customHeight="1">
      <c r="A54" s="224" t="str">
        <f>IF(ISBLANK('DEVIS AURI'!A55),"",'DEVIS AURI'!A55)</f>
        <v/>
      </c>
      <c r="B54" s="224" t="str">
        <f>IF(ISBLANK('DEVIS AURI'!B55),"",'DEVIS AURI'!B55)</f>
        <v/>
      </c>
      <c r="C54" s="224" t="str">
        <f>IF(ISBLANK('DEVIS AURI'!C55),"",'DEVIS AURI'!C55)</f>
        <v/>
      </c>
      <c r="D54" s="288" t="str">
        <f>IF(ISBLANK('DEVIS AURI'!D55),"",'DEVIS AURI'!D55)</f>
        <v/>
      </c>
      <c r="E54" s="288" t="str">
        <f>IF(ISBLANK('DEVIS AURI'!E55),"",'DEVIS AURI'!E55)</f>
        <v/>
      </c>
      <c r="F54" s="224" t="str">
        <f>IF(ISBLANK('DEVIS AURI'!F55),"",'DEVIS AURI'!F55)</f>
        <v/>
      </c>
      <c r="G54" s="288" t="str">
        <f>IF(ISBLANK('DEVIS AURI'!G55),"",'DEVIS AURI'!G55)</f>
        <v/>
      </c>
    </row>
    <row r="55" spans="1:7" s="30" customFormat="1" ht="32.1" customHeight="1" thickBot="1">
      <c r="A55" s="224" t="str">
        <f>IF(ISBLANK('DEVIS AURI'!A56),"",'DEVIS AURI'!A56)</f>
        <v/>
      </c>
      <c r="B55" s="224" t="str">
        <f>IF(ISBLANK('DEVIS AURI'!B56),"",'DEVIS AURI'!B56)</f>
        <v/>
      </c>
      <c r="C55" s="224" t="str">
        <f>IF(ISBLANK('DEVIS AURI'!C56),"",'DEVIS AURI'!C56)</f>
        <v/>
      </c>
      <c r="D55" s="288" t="str">
        <f>IF(ISBLANK('DEVIS AURI'!D56),"",'DEVIS AURI'!D56)</f>
        <v/>
      </c>
      <c r="E55" s="288" t="str">
        <f>IF(ISBLANK('DEVIS AURI'!E56),"",'DEVIS AURI'!E56)</f>
        <v/>
      </c>
      <c r="F55" s="224" t="str">
        <f>IF(ISBLANK('DEVIS AURI'!F56),"",'DEVIS AURI'!F56)</f>
        <v/>
      </c>
      <c r="G55" s="288" t="str">
        <f>IF(ISBLANK('DEVIS AURI'!G56),"",'DEVIS AURI'!G56)</f>
        <v/>
      </c>
    </row>
    <row r="56" spans="1:7" s="113" customFormat="1" ht="32.1" customHeight="1" thickTop="1" thickBot="1">
      <c r="A56" s="225" t="s">
        <v>84</v>
      </c>
      <c r="B56" s="226" t="s">
        <v>158</v>
      </c>
      <c r="C56" s="226" t="s">
        <v>157</v>
      </c>
      <c r="D56" s="364" t="s">
        <v>165</v>
      </c>
      <c r="E56" s="365"/>
      <c r="F56" s="364" t="s">
        <v>166</v>
      </c>
      <c r="G56" s="365"/>
    </row>
    <row r="57" spans="1:7" ht="32.1" customHeight="1" thickTop="1" thickBot="1">
      <c r="A57" s="227" t="s">
        <v>85</v>
      </c>
      <c r="B57" s="228">
        <f>SUMIF(F38:F55,1,E38:E55)</f>
        <v>0</v>
      </c>
      <c r="C57" s="229">
        <f>+B57*0.1</f>
        <v>0</v>
      </c>
      <c r="D57" s="343">
        <f>C57+B57</f>
        <v>0</v>
      </c>
      <c r="E57" s="344"/>
      <c r="F57" s="345">
        <f>D57+D58</f>
        <v>0</v>
      </c>
      <c r="G57" s="346"/>
    </row>
    <row r="58" spans="1:7" ht="32.1" customHeight="1" thickTop="1" thickBot="1">
      <c r="A58" s="230" t="s">
        <v>86</v>
      </c>
      <c r="B58" s="229">
        <f>SUMIF(F38:F55,2,E38:E55)</f>
        <v>0</v>
      </c>
      <c r="C58" s="231">
        <f>+B58*0.2</f>
        <v>0</v>
      </c>
      <c r="D58" s="343">
        <f>C58+B58</f>
        <v>0</v>
      </c>
      <c r="E58" s="344"/>
      <c r="F58" s="347"/>
      <c r="G58" s="348"/>
    </row>
    <row r="59" spans="1:7" ht="13.5" thickTop="1">
      <c r="A59" s="175"/>
      <c r="B59" s="175"/>
      <c r="C59" s="175"/>
      <c r="D59" s="175"/>
      <c r="E59" s="175"/>
      <c r="F59" s="175"/>
      <c r="G59" s="175"/>
    </row>
    <row r="60" spans="1:7" s="11" customFormat="1" ht="20.25" customHeight="1">
      <c r="A60" s="175"/>
      <c r="B60" s="175"/>
      <c r="C60" s="175"/>
      <c r="D60" s="175"/>
      <c r="E60" s="175"/>
      <c r="F60" s="175"/>
      <c r="G60" s="175"/>
    </row>
    <row r="61" spans="1:7" s="11" customFormat="1" ht="39.75" customHeight="1">
      <c r="A61" s="175"/>
      <c r="B61" s="175"/>
      <c r="C61" s="175"/>
      <c r="D61" s="175"/>
      <c r="E61" s="175"/>
      <c r="F61" s="175"/>
      <c r="G61" s="175"/>
    </row>
    <row r="62" spans="1:7" s="11" customFormat="1" ht="39.75" customHeight="1">
      <c r="A62" s="232"/>
      <c r="B62" s="175"/>
      <c r="C62" s="175"/>
      <c r="D62" s="175"/>
      <c r="E62" s="175"/>
      <c r="F62" s="175"/>
      <c r="G62" s="175"/>
    </row>
    <row r="63" spans="1:7" s="11" customFormat="1" ht="24" customHeight="1">
      <c r="A63" s="175"/>
      <c r="B63" s="175"/>
      <c r="C63" s="175"/>
      <c r="D63" s="175"/>
      <c r="E63" s="175"/>
      <c r="F63" s="175"/>
      <c r="G63" s="175"/>
    </row>
    <row r="64" spans="1:7" s="11" customFormat="1" ht="18.75" customHeight="1">
      <c r="A64" s="175"/>
      <c r="B64" s="175"/>
      <c r="C64" s="175"/>
      <c r="D64" s="175"/>
      <c r="E64" s="175"/>
      <c r="F64" s="175"/>
      <c r="G64" s="175"/>
    </row>
    <row r="65" spans="1:7" s="11" customFormat="1" ht="12.75" customHeight="1">
      <c r="A65" s="175"/>
      <c r="B65" s="175"/>
      <c r="C65" s="175"/>
      <c r="D65" s="175"/>
      <c r="E65" s="175"/>
      <c r="F65" s="175"/>
      <c r="G65" s="175"/>
    </row>
    <row r="66" spans="1:7" s="11" customFormat="1" ht="12.75" customHeight="1">
      <c r="A66" s="175"/>
      <c r="B66" s="175"/>
      <c r="C66" s="175"/>
      <c r="D66" s="175"/>
      <c r="E66" s="175"/>
      <c r="F66" s="175"/>
      <c r="G66" s="175"/>
    </row>
    <row r="67" spans="1:7" s="11" customFormat="1" ht="12.75" customHeight="1">
      <c r="A67" s="175"/>
      <c r="B67" s="175"/>
      <c r="C67" s="175"/>
      <c r="D67" s="175"/>
      <c r="E67" s="175"/>
      <c r="F67" s="175"/>
      <c r="G67" s="175"/>
    </row>
    <row r="68" spans="1:7" s="11" customFormat="1" ht="12.75" customHeight="1">
      <c r="A68" s="82"/>
      <c r="B68" s="82"/>
      <c r="C68" s="82"/>
      <c r="D68" s="82"/>
      <c r="E68" s="82"/>
      <c r="F68" s="82"/>
      <c r="G68" s="82"/>
    </row>
    <row r="69" spans="1:7" s="11" customFormat="1">
      <c r="A69" s="82"/>
      <c r="B69" s="82"/>
      <c r="C69" s="82"/>
      <c r="D69" s="82"/>
      <c r="E69" s="82"/>
      <c r="F69" s="82"/>
      <c r="G69" s="82"/>
    </row>
    <row r="70" spans="1:7" s="11" customFormat="1" ht="12.75" customHeight="1">
      <c r="A70" s="82"/>
      <c r="B70" s="82"/>
      <c r="C70" s="82"/>
      <c r="D70" s="82"/>
      <c r="E70" s="82"/>
      <c r="F70" s="82"/>
      <c r="G70" s="82"/>
    </row>
    <row r="71" spans="1:7" s="11" customFormat="1" ht="18.75">
      <c r="A71" s="95"/>
      <c r="B71" s="91"/>
      <c r="C71" s="82"/>
      <c r="D71" s="82"/>
      <c r="E71" s="82"/>
      <c r="F71" s="82"/>
      <c r="G71" s="82"/>
    </row>
    <row r="72" spans="1:7" s="11" customFormat="1">
      <c r="A72" s="82"/>
      <c r="B72" s="82"/>
      <c r="C72" s="82"/>
      <c r="D72" s="82"/>
      <c r="E72" s="82"/>
      <c r="F72" s="82"/>
      <c r="G72" s="82"/>
    </row>
    <row r="73" spans="1:7" s="11" customFormat="1">
      <c r="A73" s="82"/>
      <c r="B73" s="82"/>
      <c r="C73" s="82"/>
      <c r="D73" s="82"/>
      <c r="E73" s="82"/>
      <c r="F73" s="82"/>
      <c r="G73" s="82"/>
    </row>
    <row r="74" spans="1:7" s="11" customFormat="1">
      <c r="A74" s="82"/>
      <c r="B74" s="82"/>
      <c r="C74" s="82"/>
      <c r="D74" s="82"/>
      <c r="E74" s="82"/>
      <c r="F74" s="82"/>
      <c r="G74" s="82"/>
    </row>
    <row r="75" spans="1:7" s="11" customFormat="1">
      <c r="A75" s="82"/>
      <c r="B75" s="82"/>
      <c r="C75" s="82"/>
      <c r="D75" s="82"/>
      <c r="E75" s="82"/>
      <c r="F75" s="82"/>
      <c r="G75" s="82"/>
    </row>
    <row r="76" spans="1:7" s="11" customFormat="1">
      <c r="A76" s="82"/>
      <c r="B76" s="82"/>
      <c r="C76" s="82"/>
      <c r="D76" s="82"/>
      <c r="E76" s="82"/>
      <c r="F76" s="82"/>
      <c r="G76" s="82"/>
    </row>
    <row r="77" spans="1:7" s="11" customFormat="1">
      <c r="A77" s="82"/>
      <c r="B77" s="82"/>
      <c r="C77" s="82"/>
      <c r="D77" s="82"/>
      <c r="E77" s="82"/>
      <c r="F77" s="82"/>
      <c r="G77" s="82"/>
    </row>
    <row r="78" spans="1:7" s="11" customFormat="1">
      <c r="A78" s="82"/>
      <c r="B78" s="82"/>
      <c r="C78" s="82"/>
      <c r="D78" s="82"/>
      <c r="E78" s="82"/>
      <c r="F78" s="82"/>
      <c r="G78" s="82"/>
    </row>
    <row r="79" spans="1:7" s="11" customFormat="1">
      <c r="A79" s="82"/>
      <c r="B79" s="82"/>
      <c r="C79" s="82"/>
      <c r="D79" s="82"/>
      <c r="E79" s="82"/>
      <c r="F79" s="82"/>
      <c r="G79" s="82"/>
    </row>
    <row r="80" spans="1:7" s="11" customFormat="1">
      <c r="A80" s="82"/>
      <c r="B80" s="82"/>
      <c r="C80" s="82"/>
      <c r="D80" s="82"/>
      <c r="E80" s="82"/>
      <c r="F80" s="82"/>
      <c r="G80" s="82"/>
    </row>
    <row r="81" spans="1:7" s="11" customFormat="1">
      <c r="A81" s="82"/>
      <c r="B81" s="82"/>
      <c r="C81" s="82"/>
      <c r="D81" s="82"/>
      <c r="E81" s="82"/>
      <c r="F81" s="82"/>
      <c r="G81" s="82"/>
    </row>
    <row r="82" spans="1:7" s="11" customFormat="1">
      <c r="A82" s="82"/>
      <c r="B82" s="82"/>
      <c r="C82" s="82"/>
      <c r="D82" s="82"/>
      <c r="E82" s="82"/>
      <c r="F82" s="82"/>
      <c r="G82" s="82"/>
    </row>
    <row r="83" spans="1:7" s="11" customFormat="1">
      <c r="A83" s="82"/>
      <c r="B83" s="82"/>
      <c r="C83" s="82"/>
      <c r="D83" s="82"/>
      <c r="E83" s="82"/>
      <c r="F83" s="82"/>
      <c r="G83" s="82"/>
    </row>
    <row r="84" spans="1:7" s="11" customFormat="1">
      <c r="A84" s="82"/>
      <c r="B84" s="82"/>
      <c r="C84" s="82"/>
      <c r="D84" s="82"/>
      <c r="E84" s="82"/>
      <c r="F84" s="82"/>
      <c r="G84" s="82"/>
    </row>
    <row r="85" spans="1:7" s="11" customFormat="1">
      <c r="A85" s="82"/>
      <c r="B85" s="82"/>
      <c r="C85" s="82"/>
      <c r="D85" s="82"/>
      <c r="E85" s="82"/>
      <c r="F85" s="82"/>
      <c r="G85" s="82"/>
    </row>
    <row r="86" spans="1:7" s="11" customFormat="1">
      <c r="A86" s="82"/>
      <c r="B86" s="82"/>
      <c r="C86" s="82"/>
      <c r="D86" s="82"/>
      <c r="E86" s="82"/>
      <c r="F86" s="82"/>
      <c r="G86" s="82"/>
    </row>
    <row r="87" spans="1:7" s="11" customFormat="1">
      <c r="A87" s="82"/>
      <c r="B87" s="82"/>
      <c r="C87" s="82"/>
      <c r="D87" s="82"/>
      <c r="E87" s="82"/>
      <c r="F87" s="82"/>
      <c r="G87" s="82"/>
    </row>
    <row r="88" spans="1:7" s="11" customFormat="1">
      <c r="A88" s="82"/>
      <c r="B88" s="82"/>
      <c r="C88" s="82"/>
      <c r="D88" s="82"/>
      <c r="E88" s="82"/>
      <c r="F88" s="82"/>
      <c r="G88" s="82"/>
    </row>
    <row r="89" spans="1:7" s="11" customFormat="1">
      <c r="A89" s="82"/>
      <c r="B89" s="82"/>
      <c r="C89" s="82"/>
      <c r="D89" s="82"/>
      <c r="E89" s="82"/>
      <c r="F89" s="82"/>
      <c r="G89" s="82"/>
    </row>
    <row r="90" spans="1:7" s="11" customFormat="1">
      <c r="A90" s="82"/>
      <c r="B90" s="82"/>
      <c r="C90" s="82"/>
      <c r="D90" s="82"/>
      <c r="E90" s="82"/>
      <c r="F90" s="82"/>
      <c r="G90" s="82"/>
    </row>
    <row r="91" spans="1:7" s="11" customFormat="1">
      <c r="A91" s="82"/>
      <c r="B91" s="82"/>
      <c r="C91" s="82"/>
      <c r="D91" s="82"/>
      <c r="E91" s="82"/>
      <c r="F91" s="82"/>
      <c r="G91" s="82"/>
    </row>
    <row r="92" spans="1:7" s="11" customFormat="1">
      <c r="A92" s="82"/>
      <c r="B92" s="82"/>
      <c r="C92" s="82"/>
      <c r="D92" s="82"/>
      <c r="E92" s="82"/>
      <c r="F92" s="82"/>
      <c r="G92" s="82"/>
    </row>
    <row r="93" spans="1:7" s="11" customFormat="1">
      <c r="A93" s="82"/>
      <c r="B93" s="82"/>
      <c r="C93" s="82"/>
      <c r="D93" s="82"/>
      <c r="E93" s="82"/>
      <c r="F93" s="82"/>
      <c r="G93" s="82"/>
    </row>
    <row r="94" spans="1:7" s="11" customFormat="1">
      <c r="A94" s="82"/>
      <c r="B94" s="82"/>
      <c r="C94" s="82"/>
      <c r="D94" s="82"/>
      <c r="E94" s="82"/>
      <c r="F94" s="82"/>
      <c r="G94" s="82"/>
    </row>
    <row r="95" spans="1:7" s="11" customFormat="1">
      <c r="A95" s="82"/>
      <c r="B95" s="82"/>
      <c r="C95" s="82"/>
      <c r="D95" s="82"/>
      <c r="E95" s="82"/>
      <c r="F95" s="82"/>
      <c r="G95" s="82"/>
    </row>
    <row r="96" spans="1:7" s="11" customFormat="1">
      <c r="A96" s="82"/>
      <c r="B96" s="82"/>
      <c r="C96" s="82"/>
      <c r="D96" s="82"/>
      <c r="E96" s="82"/>
      <c r="F96" s="82"/>
      <c r="G96" s="82"/>
    </row>
    <row r="97" spans="1:7" s="11" customFormat="1">
      <c r="A97" s="82"/>
      <c r="B97" s="82"/>
      <c r="C97" s="82"/>
      <c r="D97" s="82"/>
      <c r="E97" s="82"/>
      <c r="F97" s="82"/>
      <c r="G97" s="82"/>
    </row>
    <row r="98" spans="1:7" s="11" customFormat="1">
      <c r="A98" s="82"/>
      <c r="B98" s="82"/>
      <c r="C98" s="82"/>
      <c r="D98" s="82"/>
      <c r="E98" s="82"/>
      <c r="F98" s="82"/>
      <c r="G98" s="82"/>
    </row>
    <row r="99" spans="1:7" s="11" customFormat="1">
      <c r="A99" s="82"/>
      <c r="B99" s="82"/>
      <c r="C99" s="82"/>
      <c r="D99" s="82"/>
      <c r="E99" s="82"/>
      <c r="F99" s="82"/>
      <c r="G99" s="82"/>
    </row>
    <row r="100" spans="1:7" s="11" customFormat="1">
      <c r="A100" s="82"/>
      <c r="B100" s="82"/>
      <c r="C100" s="82"/>
      <c r="D100" s="82"/>
      <c r="E100" s="82"/>
      <c r="F100" s="82"/>
      <c r="G100" s="82"/>
    </row>
    <row r="101" spans="1:7" s="11" customFormat="1">
      <c r="A101" s="82"/>
      <c r="B101" s="82"/>
      <c r="C101" s="82"/>
      <c r="D101" s="82"/>
      <c r="E101" s="82"/>
      <c r="F101" s="82"/>
      <c r="G101" s="82"/>
    </row>
    <row r="102" spans="1:7" s="11" customFormat="1">
      <c r="A102" s="82"/>
      <c r="B102" s="82"/>
      <c r="C102" s="82"/>
      <c r="D102" s="82"/>
      <c r="E102" s="82"/>
      <c r="F102" s="82"/>
      <c r="G102" s="82"/>
    </row>
    <row r="103" spans="1:7" s="11" customFormat="1">
      <c r="A103" s="82"/>
      <c r="B103" s="82"/>
      <c r="C103" s="82"/>
      <c r="D103" s="82"/>
      <c r="E103" s="82"/>
      <c r="F103" s="82"/>
      <c r="G103" s="82"/>
    </row>
    <row r="104" spans="1:7" s="11" customFormat="1">
      <c r="A104" s="82"/>
      <c r="B104" s="82"/>
      <c r="C104" s="82"/>
      <c r="D104" s="82"/>
      <c r="E104" s="82"/>
      <c r="F104" s="82"/>
      <c r="G104" s="82"/>
    </row>
    <row r="105" spans="1:7" s="11" customFormat="1">
      <c r="A105" s="82"/>
      <c r="B105" s="82"/>
      <c r="C105" s="82"/>
      <c r="D105" s="82"/>
      <c r="E105" s="82"/>
      <c r="F105" s="82"/>
      <c r="G105" s="82"/>
    </row>
    <row r="106" spans="1:7" s="11" customFormat="1">
      <c r="A106" s="82"/>
      <c r="B106" s="82"/>
      <c r="C106" s="82"/>
      <c r="D106" s="82"/>
      <c r="E106" s="82"/>
      <c r="F106" s="82"/>
      <c r="G106" s="82"/>
    </row>
    <row r="107" spans="1:7" s="11" customFormat="1">
      <c r="A107" s="82"/>
      <c r="B107" s="82"/>
      <c r="C107" s="82"/>
      <c r="D107" s="82"/>
      <c r="E107" s="82"/>
      <c r="F107" s="82"/>
      <c r="G107" s="82"/>
    </row>
    <row r="108" spans="1:7" s="11" customFormat="1">
      <c r="A108" s="82"/>
      <c r="B108" s="82"/>
      <c r="C108" s="82"/>
      <c r="D108" s="82"/>
      <c r="E108" s="82"/>
      <c r="F108" s="82"/>
      <c r="G108" s="82"/>
    </row>
    <row r="109" spans="1:7" s="11" customFormat="1">
      <c r="A109" s="82"/>
      <c r="B109" s="82"/>
      <c r="C109" s="82"/>
      <c r="D109" s="82"/>
      <c r="E109" s="82"/>
      <c r="F109" s="82"/>
      <c r="G109" s="82"/>
    </row>
    <row r="110" spans="1:7" s="11" customFormat="1">
      <c r="A110" s="82"/>
      <c r="B110" s="82"/>
      <c r="C110" s="82"/>
      <c r="D110" s="82"/>
      <c r="E110" s="82"/>
      <c r="F110" s="82"/>
      <c r="G110" s="82"/>
    </row>
    <row r="111" spans="1:7" s="11" customFormat="1">
      <c r="A111" s="82"/>
      <c r="B111" s="82"/>
      <c r="C111" s="82"/>
      <c r="D111" s="82"/>
      <c r="E111" s="82"/>
      <c r="F111" s="82"/>
      <c r="G111" s="82"/>
    </row>
    <row r="112" spans="1:7" s="11" customFormat="1">
      <c r="A112" s="82"/>
      <c r="B112" s="82"/>
      <c r="C112" s="82"/>
      <c r="D112" s="82"/>
      <c r="E112" s="82"/>
      <c r="F112" s="82"/>
      <c r="G112" s="82"/>
    </row>
    <row r="113" spans="1:7" s="11" customFormat="1">
      <c r="A113" s="82"/>
      <c r="B113" s="82"/>
      <c r="C113" s="82"/>
      <c r="D113" s="82"/>
      <c r="E113" s="82"/>
      <c r="F113" s="82"/>
      <c r="G113" s="82"/>
    </row>
    <row r="114" spans="1:7" s="11" customFormat="1">
      <c r="A114" s="82"/>
      <c r="B114" s="82"/>
      <c r="C114" s="82"/>
      <c r="D114" s="82"/>
      <c r="E114" s="82"/>
      <c r="F114" s="82"/>
      <c r="G114" s="82"/>
    </row>
  </sheetData>
  <protectedRanges>
    <protectedRange sqref="D63 E62 D60:E61 G34:G35 G60:G61 D34:E36 D37:G37" name="Plage1_11"/>
  </protectedRanges>
  <customSheetViews>
    <customSheetView guid="{242414E6-120C-46C4-A8A3-88F120C813D3}" scale="55" showPageBreaks="1" printArea="1">
      <selection activeCell="D1" sqref="D1"/>
      <pageMargins left="0.39370078740157483" right="0" top="0.39370078740157483" bottom="0" header="0.31496062992125984" footer="0.31496062992125984"/>
      <pageSetup paperSize="9" scale="45" fitToWidth="0" fitToHeight="0" orientation="portrait" r:id="rId1"/>
      <headerFooter>
        <oddHeader>&amp;L&amp;G&amp;R&amp;G</oddHeader>
      </headerFooter>
    </customSheetView>
  </customSheetViews>
  <mergeCells count="25">
    <mergeCell ref="F1:G1"/>
    <mergeCell ref="F3:G3"/>
    <mergeCell ref="F4:G4"/>
    <mergeCell ref="D56:E56"/>
    <mergeCell ref="F56:G56"/>
    <mergeCell ref="C1:E1"/>
    <mergeCell ref="C2:E2"/>
    <mergeCell ref="C3:E3"/>
    <mergeCell ref="C4:E4"/>
    <mergeCell ref="D57:E57"/>
    <mergeCell ref="F57:G58"/>
    <mergeCell ref="D58:E58"/>
    <mergeCell ref="Q2:Q3"/>
    <mergeCell ref="Q4:Q5"/>
    <mergeCell ref="A28:G28"/>
    <mergeCell ref="D23:E23"/>
    <mergeCell ref="D10:G10"/>
    <mergeCell ref="A11:B11"/>
    <mergeCell ref="D11:G11"/>
    <mergeCell ref="D13:E13"/>
    <mergeCell ref="F13:G13"/>
    <mergeCell ref="Q6:S7"/>
    <mergeCell ref="D12:G12"/>
    <mergeCell ref="F2:G2"/>
    <mergeCell ref="A21:B22"/>
  </mergeCells>
  <conditionalFormatting sqref="D10:G13">
    <cfRule type="cellIs" dxfId="7" priority="13" operator="equal">
      <formula>0</formula>
    </cfRule>
  </conditionalFormatting>
  <conditionalFormatting sqref="B12:B19">
    <cfRule type="cellIs" dxfId="6" priority="11" operator="equal">
      <formula>0</formula>
    </cfRule>
  </conditionalFormatting>
  <conditionalFormatting sqref="B23:B26">
    <cfRule type="cellIs" dxfId="5" priority="10" operator="equal">
      <formula>0</formula>
    </cfRule>
  </conditionalFormatting>
  <conditionalFormatting sqref="C1">
    <cfRule type="cellIs" dxfId="4" priority="6" operator="equal">
      <formula>0</formula>
    </cfRule>
  </conditionalFormatting>
  <conditionalFormatting sqref="C3">
    <cfRule type="cellIs" dxfId="3" priority="3" operator="equal">
      <formula>0</formula>
    </cfRule>
  </conditionalFormatting>
  <conditionalFormatting sqref="C2">
    <cfRule type="cellIs" dxfId="2" priority="4" operator="equal">
      <formula>0</formula>
    </cfRule>
  </conditionalFormatting>
  <conditionalFormatting sqref="C4">
    <cfRule type="cellIs" dxfId="1" priority="2" operator="equal">
      <formula>0</formula>
    </cfRule>
  </conditionalFormatting>
  <conditionalFormatting sqref="F1:F4">
    <cfRule type="cellIs" dxfId="0" priority="1" operator="equal">
      <formula>0</formula>
    </cfRule>
  </conditionalFormatting>
  <dataValidations count="1">
    <dataValidation type="list" allowBlank="1" showInputMessage="1" showErrorMessage="1" sqref="M28">
      <formula1>Règlement</formula1>
    </dataValidation>
  </dataValidations>
  <pageMargins left="0.39370078740157483" right="0" top="0.39370078740157483" bottom="0" header="0.31496062992125984" footer="0.31496062992125984"/>
  <pageSetup paperSize="9" scale="41" orientation="portrait" r:id="rId2"/>
  <headerFooter>
    <oddHeader>&amp;L&amp;G&amp;R&amp;G</oddHeader>
  </headerFooter>
  <ignoredErrors>
    <ignoredError sqref="B12:B19 D13:F13 B30:G30 B32:G33 B31 D31:G31 A38 A39:G55 B38:G38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120"/>
  <sheetViews>
    <sheetView topLeftCell="A4" workbookViewId="0">
      <selection activeCell="H13" sqref="H13"/>
    </sheetView>
  </sheetViews>
  <sheetFormatPr baseColWidth="10" defaultRowHeight="12.75"/>
  <cols>
    <col min="1" max="1" width="84.7109375" bestFit="1" customWidth="1"/>
    <col min="2" max="2" width="19.28515625" style="109" bestFit="1" customWidth="1"/>
    <col min="3" max="3" width="11.7109375" bestFit="1" customWidth="1"/>
    <col min="8" max="8" width="53.28515625" bestFit="1" customWidth="1"/>
    <col min="9" max="9" width="15.28515625" bestFit="1" customWidth="1"/>
    <col min="10" max="13" width="15.28515625" customWidth="1"/>
    <col min="14" max="14" width="11.7109375" bestFit="1" customWidth="1"/>
    <col min="18" max="18" width="53.28515625" bestFit="1" customWidth="1"/>
  </cols>
  <sheetData>
    <row r="1" spans="1:22" ht="30" customHeight="1" thickBot="1">
      <c r="B1" s="13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R1" s="3" t="s">
        <v>42</v>
      </c>
      <c r="S1" s="27">
        <f>56*0.99</f>
        <v>55.44</v>
      </c>
      <c r="T1" s="32">
        <v>1</v>
      </c>
      <c r="U1" s="26">
        <v>0.1</v>
      </c>
      <c r="V1" s="28">
        <f t="shared" ref="V1:V58" si="0">+S1*(1+U1)</f>
        <v>60.984000000000002</v>
      </c>
    </row>
    <row r="2" spans="1:22" ht="30" customHeight="1">
      <c r="A2" s="383" t="s">
        <v>146</v>
      </c>
      <c r="B2" s="384"/>
      <c r="C2" s="384"/>
      <c r="D2" s="384"/>
      <c r="E2" s="385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R2" s="3" t="s">
        <v>107</v>
      </c>
      <c r="S2" s="27">
        <v>1.1000000000000001</v>
      </c>
      <c r="T2" s="32">
        <v>1</v>
      </c>
      <c r="U2" s="26">
        <v>0.1</v>
      </c>
      <c r="V2" s="28">
        <f t="shared" si="0"/>
        <v>1.2100000000000002</v>
      </c>
    </row>
    <row r="3" spans="1:22" ht="30" customHeight="1">
      <c r="A3" s="130" t="s">
        <v>186</v>
      </c>
      <c r="B3" s="131" t="s">
        <v>151</v>
      </c>
      <c r="C3" s="386" t="s">
        <v>185</v>
      </c>
      <c r="D3" s="387"/>
      <c r="E3" s="388"/>
      <c r="F3" s="122"/>
      <c r="G3" s="122"/>
      <c r="H3" s="129">
        <v>2.0833333333333332E-2</v>
      </c>
      <c r="R3" s="3" t="s">
        <v>108</v>
      </c>
      <c r="S3" s="27"/>
      <c r="T3" s="32">
        <v>1</v>
      </c>
      <c r="U3" s="26">
        <v>0.1</v>
      </c>
      <c r="V3" s="28">
        <f t="shared" si="0"/>
        <v>0</v>
      </c>
    </row>
    <row r="4" spans="1:22" ht="30" customHeight="1" thickBot="1">
      <c r="A4" s="139">
        <f>+'DEVIS AURI'!$F$10</f>
        <v>0</v>
      </c>
      <c r="B4" s="140">
        <f>+'DEVIS AURI'!$B$29</f>
        <v>0</v>
      </c>
      <c r="C4" s="381">
        <f>('DEVIS AURI'!$B$30)-$H$3</f>
        <v>-2.0833333333333332E-2</v>
      </c>
      <c r="D4" s="381"/>
      <c r="E4" s="382"/>
      <c r="F4" s="122"/>
      <c r="G4" s="122"/>
      <c r="R4" s="10" t="s">
        <v>110</v>
      </c>
      <c r="S4" s="27"/>
      <c r="T4" s="32">
        <v>1</v>
      </c>
      <c r="U4" s="26">
        <v>0.1</v>
      </c>
      <c r="V4" s="28">
        <f t="shared" si="0"/>
        <v>0</v>
      </c>
    </row>
    <row r="5" spans="1:22" ht="30" customHeight="1" thickBot="1">
      <c r="B5" s="132"/>
      <c r="C5" s="122"/>
      <c r="D5" s="122"/>
      <c r="E5" s="122"/>
      <c r="F5" s="122"/>
      <c r="G5" s="122"/>
      <c r="R5" s="10" t="s">
        <v>109</v>
      </c>
      <c r="S5" s="27"/>
      <c r="T5" s="32">
        <v>1</v>
      </c>
      <c r="U5" s="26">
        <v>0.1</v>
      </c>
      <c r="V5" s="28">
        <f t="shared" si="0"/>
        <v>0</v>
      </c>
    </row>
    <row r="6" spans="1:22" ht="30" customHeight="1" thickTop="1">
      <c r="A6" s="378"/>
      <c r="B6" s="379"/>
      <c r="C6" s="379"/>
      <c r="D6" s="380"/>
      <c r="E6" s="295"/>
      <c r="F6" s="122"/>
      <c r="G6" s="122"/>
      <c r="R6" s="10" t="s">
        <v>111</v>
      </c>
      <c r="S6" s="27"/>
      <c r="T6" s="32">
        <v>1</v>
      </c>
      <c r="U6" s="26">
        <v>0.1</v>
      </c>
      <c r="V6" s="28">
        <f t="shared" si="0"/>
        <v>0</v>
      </c>
    </row>
    <row r="7" spans="1:22" ht="30" customHeight="1">
      <c r="A7" s="372" t="s">
        <v>42</v>
      </c>
      <c r="B7" s="373"/>
      <c r="C7" s="373"/>
      <c r="D7" s="374"/>
      <c r="E7" s="296">
        <f>SUMIF('DEVIS AURI'!$B$39:$B$56,PREPARATION!A7,'DEVIS AURI'!$C$39:$C$56)</f>
        <v>0</v>
      </c>
      <c r="F7" s="122"/>
      <c r="G7" s="122"/>
      <c r="R7" s="10" t="s">
        <v>112</v>
      </c>
      <c r="S7" s="27">
        <v>0.7</v>
      </c>
      <c r="T7" s="32">
        <v>1</v>
      </c>
      <c r="U7" s="26">
        <v>0.1</v>
      </c>
      <c r="V7" s="28">
        <f t="shared" si="0"/>
        <v>0.77</v>
      </c>
    </row>
    <row r="8" spans="1:22" ht="30" customHeight="1">
      <c r="A8" s="372" t="s">
        <v>214</v>
      </c>
      <c r="B8" s="373"/>
      <c r="C8" s="373"/>
      <c r="D8" s="374"/>
      <c r="E8" s="296">
        <f>SUMIF('DEVIS AURI'!$B$39:$B$56,PREPARATION!A8,'DEVIS AURI'!$C$39:$C$56)</f>
        <v>0</v>
      </c>
      <c r="F8" s="122"/>
      <c r="G8" s="122"/>
      <c r="R8" s="10" t="s">
        <v>113</v>
      </c>
      <c r="S8" s="27">
        <v>0.7</v>
      </c>
      <c r="T8" s="32">
        <v>1</v>
      </c>
      <c r="U8" s="26">
        <v>0.1</v>
      </c>
      <c r="V8" s="28">
        <f t="shared" si="0"/>
        <v>0.77</v>
      </c>
    </row>
    <row r="9" spans="1:22" ht="30" customHeight="1">
      <c r="A9" s="372" t="s">
        <v>110</v>
      </c>
      <c r="B9" s="373"/>
      <c r="C9" s="373"/>
      <c r="D9" s="374"/>
      <c r="E9" s="296">
        <f>SUMIF('DEVIS AURI'!$B$39:$B$56,PREPARATION!A9,'DEVIS AURI'!$C$39:$C$56)</f>
        <v>0</v>
      </c>
      <c r="F9" s="122"/>
      <c r="G9" s="122"/>
      <c r="R9" s="10" t="s">
        <v>114</v>
      </c>
      <c r="S9" s="27">
        <v>0.7</v>
      </c>
      <c r="T9" s="32">
        <v>1</v>
      </c>
      <c r="U9" s="26">
        <v>0.1</v>
      </c>
      <c r="V9" s="28">
        <f t="shared" si="0"/>
        <v>0.77</v>
      </c>
    </row>
    <row r="10" spans="1:22" ht="30" customHeight="1">
      <c r="A10" s="372" t="s">
        <v>109</v>
      </c>
      <c r="B10" s="373"/>
      <c r="C10" s="373"/>
      <c r="D10" s="374"/>
      <c r="E10" s="296">
        <f>SUMIF('DEVIS AURI'!$B$39:$B$56,PREPARATION!A10,'DEVIS AURI'!$C$39:$C$56)</f>
        <v>0</v>
      </c>
      <c r="F10" s="122"/>
      <c r="G10" s="122"/>
      <c r="R10" s="3" t="s">
        <v>43</v>
      </c>
      <c r="S10" s="27">
        <v>0.7</v>
      </c>
      <c r="T10" s="32">
        <v>1</v>
      </c>
      <c r="U10" s="26">
        <v>0.1</v>
      </c>
      <c r="V10" s="28">
        <f t="shared" si="0"/>
        <v>0.77</v>
      </c>
    </row>
    <row r="11" spans="1:22" ht="30" customHeight="1">
      <c r="A11" s="372" t="s">
        <v>111</v>
      </c>
      <c r="B11" s="373"/>
      <c r="C11" s="373"/>
      <c r="D11" s="374"/>
      <c r="E11" s="296">
        <f>SUMIF('DEVIS AURI'!$B$39:$B$56,PREPARATION!A11,'DEVIS AURI'!$C$39:$C$56)</f>
        <v>0</v>
      </c>
      <c r="F11" s="122"/>
      <c r="G11" s="122"/>
      <c r="R11" s="15" t="s">
        <v>44</v>
      </c>
      <c r="S11" s="27">
        <v>6</v>
      </c>
      <c r="T11" s="32">
        <v>1</v>
      </c>
      <c r="U11" s="26">
        <v>0.1</v>
      </c>
      <c r="V11" s="28">
        <f t="shared" si="0"/>
        <v>6.6000000000000005</v>
      </c>
    </row>
    <row r="12" spans="1:22" ht="30" customHeight="1">
      <c r="A12" s="372" t="s">
        <v>112</v>
      </c>
      <c r="B12" s="373"/>
      <c r="C12" s="373"/>
      <c r="D12" s="374"/>
      <c r="E12" s="296">
        <f>SUMIF('DEVIS AURI'!$B$39:$B$56,PREPARATION!A12,'DEVIS AURI'!$C$39:$C$56)</f>
        <v>0</v>
      </c>
      <c r="F12" s="122"/>
      <c r="G12" s="122"/>
      <c r="R12" s="10" t="s">
        <v>45</v>
      </c>
      <c r="S12" s="27">
        <v>26.4</v>
      </c>
      <c r="T12" s="32">
        <v>1</v>
      </c>
      <c r="U12" s="26">
        <v>0.1</v>
      </c>
      <c r="V12" s="28">
        <f t="shared" si="0"/>
        <v>29.04</v>
      </c>
    </row>
    <row r="13" spans="1:22" ht="30" customHeight="1">
      <c r="A13" s="372" t="s">
        <v>113</v>
      </c>
      <c r="B13" s="373"/>
      <c r="C13" s="373"/>
      <c r="D13" s="374"/>
      <c r="E13" s="296">
        <f>SUMIF('DEVIS AURI'!$B$39:$B$56,PREPARATION!A13,'DEVIS AURI'!$C$39:$C$56)</f>
        <v>0</v>
      </c>
      <c r="F13" s="122"/>
      <c r="G13" s="122"/>
      <c r="R13" s="5" t="s">
        <v>46</v>
      </c>
      <c r="S13" s="27">
        <v>17.55</v>
      </c>
      <c r="T13" s="32">
        <v>1</v>
      </c>
      <c r="U13" s="26">
        <v>0.1</v>
      </c>
      <c r="V13" s="28">
        <f t="shared" si="0"/>
        <v>19.305000000000003</v>
      </c>
    </row>
    <row r="14" spans="1:22" ht="30" customHeight="1">
      <c r="A14" s="372" t="s">
        <v>114</v>
      </c>
      <c r="B14" s="373"/>
      <c r="C14" s="373"/>
      <c r="D14" s="374"/>
      <c r="E14" s="296">
        <f>SUMIF('DEVIS AURI'!$B$39:$B$56,PREPARATION!A14,'DEVIS AURI'!$C$39:$C$56)</f>
        <v>0</v>
      </c>
      <c r="F14" s="122"/>
      <c r="G14" s="122"/>
      <c r="R14" s="5" t="s">
        <v>47</v>
      </c>
      <c r="S14" s="27">
        <v>0.85</v>
      </c>
      <c r="T14" s="32">
        <v>1</v>
      </c>
      <c r="U14" s="26">
        <v>0.1</v>
      </c>
      <c r="V14" s="28">
        <f t="shared" si="0"/>
        <v>0.93500000000000005</v>
      </c>
    </row>
    <row r="15" spans="1:22" ht="30" customHeight="1">
      <c r="A15" s="372" t="s">
        <v>44</v>
      </c>
      <c r="B15" s="373"/>
      <c r="C15" s="373"/>
      <c r="D15" s="374"/>
      <c r="E15" s="296">
        <f>SUMIF('DEVIS AURI'!$B$39:$B$56,PREPARATION!A15,'DEVIS AURI'!$C$39:$C$56)</f>
        <v>0</v>
      </c>
      <c r="F15" s="122"/>
      <c r="G15" s="122"/>
      <c r="H15" s="122"/>
      <c r="I15" s="123"/>
      <c r="J15" s="123"/>
      <c r="K15" s="123"/>
      <c r="L15" s="123"/>
      <c r="M15" s="123"/>
      <c r="N15" s="122"/>
      <c r="O15" s="122"/>
      <c r="P15" s="122"/>
      <c r="R15" s="5" t="s">
        <v>79</v>
      </c>
      <c r="S15" s="27">
        <v>40</v>
      </c>
      <c r="T15" s="32">
        <v>1</v>
      </c>
      <c r="U15" s="26">
        <v>0.1</v>
      </c>
      <c r="V15" s="28">
        <f t="shared" si="0"/>
        <v>44</v>
      </c>
    </row>
    <row r="16" spans="1:22" ht="30" customHeight="1">
      <c r="A16" s="372" t="s">
        <v>45</v>
      </c>
      <c r="B16" s="373"/>
      <c r="C16" s="373"/>
      <c r="D16" s="374"/>
      <c r="E16" s="296">
        <f>SUMIF('DEVIS AURI'!$B$39:$B$56,PREPARATION!A16,'DEVIS AURI'!$C$39:$C$56)</f>
        <v>0</v>
      </c>
      <c r="F16" s="122"/>
      <c r="G16" s="122"/>
      <c r="H16" s="122"/>
      <c r="I16" s="123"/>
      <c r="J16" s="123"/>
      <c r="K16" s="123"/>
      <c r="L16" s="123"/>
      <c r="M16" s="123"/>
      <c r="N16" s="122"/>
      <c r="O16" s="122"/>
      <c r="P16" s="122"/>
      <c r="R16" s="10" t="s">
        <v>49</v>
      </c>
      <c r="S16" s="27">
        <v>36</v>
      </c>
      <c r="T16" s="32">
        <v>1</v>
      </c>
      <c r="U16" s="26">
        <v>0.1</v>
      </c>
      <c r="V16" s="28">
        <f t="shared" si="0"/>
        <v>39.6</v>
      </c>
    </row>
    <row r="17" spans="1:22" ht="30" customHeight="1">
      <c r="A17" s="372" t="s">
        <v>46</v>
      </c>
      <c r="B17" s="373"/>
      <c r="C17" s="373"/>
      <c r="D17" s="374"/>
      <c r="E17" s="296">
        <f>SUMIF('DEVIS AURI'!$B$39:$B$56,PREPARATION!A17,'DEVIS AURI'!$C$39:$C$56)</f>
        <v>0</v>
      </c>
      <c r="F17" s="122"/>
      <c r="G17" s="122"/>
      <c r="H17" s="122"/>
      <c r="I17" s="123"/>
      <c r="J17" s="123"/>
      <c r="K17" s="123"/>
      <c r="L17" s="123"/>
      <c r="M17" s="123"/>
      <c r="N17" s="122"/>
      <c r="O17" s="122"/>
      <c r="P17" s="122"/>
      <c r="R17" s="10" t="s">
        <v>50</v>
      </c>
      <c r="S17" s="27">
        <v>1.5</v>
      </c>
      <c r="T17" s="32">
        <v>1</v>
      </c>
      <c r="U17" s="26">
        <v>0.1</v>
      </c>
      <c r="V17" s="28">
        <f t="shared" si="0"/>
        <v>1.6500000000000001</v>
      </c>
    </row>
    <row r="18" spans="1:22" ht="30" customHeight="1">
      <c r="A18" s="372" t="s">
        <v>47</v>
      </c>
      <c r="B18" s="373"/>
      <c r="C18" s="373"/>
      <c r="D18" s="374"/>
      <c r="E18" s="296">
        <f>SUMIF('DEVIS AURI'!$B$39:$B$56,PREPARATION!A18,'DEVIS AURI'!$C$39:$C$56)</f>
        <v>0</v>
      </c>
      <c r="F18" s="122"/>
      <c r="G18" s="122"/>
      <c r="H18" s="122"/>
      <c r="I18" s="123"/>
      <c r="J18" s="123"/>
      <c r="K18" s="123"/>
      <c r="L18" s="123"/>
      <c r="M18" s="123"/>
      <c r="N18" s="122"/>
      <c r="O18" s="122"/>
      <c r="P18" s="122"/>
      <c r="R18" s="10" t="s">
        <v>51</v>
      </c>
      <c r="S18" s="27">
        <v>1.8</v>
      </c>
      <c r="T18" s="32">
        <v>1</v>
      </c>
      <c r="U18" s="26">
        <v>0.1</v>
      </c>
      <c r="V18" s="28">
        <f t="shared" si="0"/>
        <v>1.9800000000000002</v>
      </c>
    </row>
    <row r="19" spans="1:22" ht="30" customHeight="1">
      <c r="A19" s="372" t="s">
        <v>79</v>
      </c>
      <c r="B19" s="373"/>
      <c r="C19" s="373"/>
      <c r="D19" s="374"/>
      <c r="E19" s="296">
        <f>SUMIF('DEVIS AURI'!$B$39:$B$56,PREPARATION!A19,'DEVIS AURI'!$C$39:$C$56)</f>
        <v>0</v>
      </c>
      <c r="F19" s="122"/>
      <c r="G19" s="122"/>
      <c r="H19" s="122"/>
      <c r="I19" s="123"/>
      <c r="J19" s="123"/>
      <c r="K19" s="123"/>
      <c r="L19" s="123"/>
      <c r="M19" s="123"/>
      <c r="N19" s="122"/>
      <c r="O19" s="122"/>
      <c r="P19" s="122"/>
      <c r="R19" s="10" t="s">
        <v>52</v>
      </c>
      <c r="S19" s="27">
        <v>24.7</v>
      </c>
      <c r="T19" s="32">
        <v>1</v>
      </c>
      <c r="U19" s="26">
        <v>0.1</v>
      </c>
      <c r="V19" s="28">
        <f t="shared" si="0"/>
        <v>27.17</v>
      </c>
    </row>
    <row r="20" spans="1:22" ht="30" customHeight="1">
      <c r="A20" s="372" t="s">
        <v>51</v>
      </c>
      <c r="B20" s="373"/>
      <c r="C20" s="373"/>
      <c r="D20" s="374"/>
      <c r="E20" s="296">
        <f>SUMIF('DEVIS AURI'!$B$39:$B$56,PREPARATION!A20,'DEVIS AURI'!$C$39:$C$56)</f>
        <v>0</v>
      </c>
      <c r="F20" s="122"/>
      <c r="G20" s="122"/>
      <c r="H20" s="122"/>
      <c r="I20" s="123"/>
      <c r="J20" s="123"/>
      <c r="K20" s="123"/>
      <c r="L20" s="123"/>
      <c r="M20" s="123"/>
      <c r="N20" s="122"/>
      <c r="O20" s="122"/>
      <c r="P20" s="122"/>
      <c r="R20" s="10" t="s">
        <v>53</v>
      </c>
      <c r="S20" s="27">
        <v>17.489999999999998</v>
      </c>
      <c r="T20" s="32">
        <v>1</v>
      </c>
      <c r="U20" s="26">
        <v>0.1</v>
      </c>
      <c r="V20" s="28">
        <f t="shared" si="0"/>
        <v>19.239000000000001</v>
      </c>
    </row>
    <row r="21" spans="1:22" ht="30" customHeight="1">
      <c r="A21" s="372" t="s">
        <v>52</v>
      </c>
      <c r="B21" s="373"/>
      <c r="C21" s="373"/>
      <c r="D21" s="374"/>
      <c r="E21" s="296">
        <f>SUMIF('DEVIS AURI'!$B$39:$B$56,PREPARATION!A21,'DEVIS AURI'!$C$39:$C$56)</f>
        <v>0</v>
      </c>
      <c r="F21" s="122"/>
      <c r="G21" s="122"/>
      <c r="H21" s="122"/>
      <c r="I21" s="123"/>
      <c r="J21" s="123"/>
      <c r="K21" s="123"/>
      <c r="L21" s="123"/>
      <c r="M21" s="123"/>
      <c r="N21" s="122"/>
      <c r="O21" s="122"/>
      <c r="P21" s="122"/>
      <c r="R21" s="3" t="s">
        <v>64</v>
      </c>
      <c r="S21" s="27">
        <v>2.5499999999999998</v>
      </c>
      <c r="T21" s="32">
        <v>1</v>
      </c>
      <c r="U21" s="26">
        <v>0.1</v>
      </c>
      <c r="V21" s="28">
        <f t="shared" si="0"/>
        <v>2.8050000000000002</v>
      </c>
    </row>
    <row r="22" spans="1:22" ht="30" customHeight="1" thickBot="1">
      <c r="A22" s="375" t="s">
        <v>53</v>
      </c>
      <c r="B22" s="376"/>
      <c r="C22" s="376"/>
      <c r="D22" s="377"/>
      <c r="E22" s="297">
        <f>SUMIF('DEVIS AURI'!$B$39:$B$56,PREPARATION!A22,'DEVIS AURI'!$C$39:$C$56)</f>
        <v>0</v>
      </c>
      <c r="F22" s="122"/>
      <c r="G22" s="122"/>
      <c r="H22" s="122"/>
      <c r="I22" s="123"/>
      <c r="J22" s="123"/>
      <c r="K22" s="123"/>
      <c r="L22" s="123"/>
      <c r="M22" s="123"/>
      <c r="N22" s="122"/>
      <c r="O22" s="122"/>
      <c r="P22" s="122"/>
      <c r="R22" s="3" t="s">
        <v>65</v>
      </c>
      <c r="S22" s="27">
        <v>3.5</v>
      </c>
      <c r="T22" s="32">
        <v>1</v>
      </c>
      <c r="U22" s="26">
        <v>0.1</v>
      </c>
      <c r="V22" s="28">
        <f t="shared" si="0"/>
        <v>3.8500000000000005</v>
      </c>
    </row>
    <row r="23" spans="1:22" ht="30" customHeight="1" thickTop="1">
      <c r="A23" s="124"/>
      <c r="B23" s="290"/>
      <c r="C23" s="122"/>
      <c r="D23" s="122"/>
      <c r="E23" s="122"/>
      <c r="F23" s="122"/>
      <c r="G23" s="122"/>
      <c r="H23" s="122"/>
      <c r="I23" s="123"/>
      <c r="J23" s="123"/>
      <c r="K23" s="123"/>
      <c r="L23" s="123"/>
      <c r="M23" s="123"/>
      <c r="N23" s="122"/>
      <c r="O23" s="122"/>
      <c r="P23" s="122"/>
      <c r="R23" s="134" t="s">
        <v>66</v>
      </c>
      <c r="S23" s="135">
        <v>3.5</v>
      </c>
      <c r="T23" s="136">
        <v>1</v>
      </c>
      <c r="U23" s="137">
        <v>0.1</v>
      </c>
      <c r="V23" s="138">
        <f t="shared" si="0"/>
        <v>3.8500000000000005</v>
      </c>
    </row>
    <row r="24" spans="1:22" ht="30" customHeight="1">
      <c r="A24" s="124"/>
      <c r="B24" s="290"/>
      <c r="C24" s="122"/>
      <c r="D24" s="122"/>
      <c r="E24" s="122"/>
      <c r="F24" s="122"/>
      <c r="G24" s="122"/>
      <c r="H24" s="122"/>
      <c r="I24" s="123"/>
      <c r="J24" s="123"/>
      <c r="K24" s="123"/>
      <c r="L24" s="123"/>
      <c r="M24" s="123"/>
      <c r="N24" s="122"/>
      <c r="O24" s="122"/>
      <c r="P24" s="122"/>
      <c r="R24" s="3" t="s">
        <v>63</v>
      </c>
      <c r="S24" s="27">
        <v>3.5</v>
      </c>
      <c r="T24" s="32">
        <v>1</v>
      </c>
      <c r="U24" s="26">
        <v>0.1</v>
      </c>
      <c r="V24" s="28">
        <f t="shared" si="0"/>
        <v>3.8500000000000005</v>
      </c>
    </row>
    <row r="25" spans="1:22" ht="30" customHeight="1">
      <c r="A25" s="124"/>
      <c r="B25" s="290"/>
      <c r="C25" s="122"/>
      <c r="D25" s="122"/>
      <c r="E25" s="122"/>
      <c r="F25" s="122"/>
      <c r="G25" s="122"/>
      <c r="H25" s="122"/>
      <c r="I25" s="123"/>
      <c r="J25" s="123"/>
      <c r="K25" s="123"/>
      <c r="L25" s="123"/>
      <c r="M25" s="123"/>
      <c r="N25" s="122"/>
      <c r="O25" s="122"/>
      <c r="P25" s="122"/>
      <c r="R25" s="3" t="s">
        <v>67</v>
      </c>
      <c r="S25" s="27">
        <v>4</v>
      </c>
      <c r="T25" s="32">
        <v>1</v>
      </c>
      <c r="U25" s="26">
        <v>0.1</v>
      </c>
      <c r="V25" s="28">
        <f t="shared" si="0"/>
        <v>4.4000000000000004</v>
      </c>
    </row>
    <row r="26" spans="1:22" ht="30" customHeight="1" thickBot="1">
      <c r="A26" s="124"/>
      <c r="B26" s="290"/>
      <c r="C26" s="122"/>
      <c r="D26" s="122"/>
      <c r="E26" s="122"/>
      <c r="F26" s="122"/>
      <c r="G26" s="122"/>
      <c r="H26" s="122"/>
      <c r="I26" s="123"/>
      <c r="J26" s="123"/>
      <c r="K26" s="123"/>
      <c r="L26" s="123"/>
      <c r="M26" s="123"/>
      <c r="N26" s="122"/>
      <c r="O26" s="122"/>
      <c r="P26" s="122"/>
      <c r="R26" s="3" t="s">
        <v>68</v>
      </c>
      <c r="S26" s="27">
        <v>4</v>
      </c>
      <c r="T26" s="32">
        <v>1</v>
      </c>
      <c r="U26" s="26">
        <v>0.1</v>
      </c>
      <c r="V26" s="28">
        <f t="shared" si="0"/>
        <v>4.4000000000000004</v>
      </c>
    </row>
    <row r="27" spans="1:22" ht="30" customHeight="1" thickBot="1">
      <c r="A27" s="124"/>
      <c r="B27" s="290"/>
      <c r="C27" s="122"/>
      <c r="D27" s="122"/>
      <c r="E27" s="122"/>
      <c r="F27" s="122"/>
      <c r="G27" s="122"/>
      <c r="H27" s="122"/>
      <c r="I27" s="123"/>
      <c r="J27" s="123"/>
      <c r="K27" s="123"/>
      <c r="L27" s="123"/>
      <c r="M27" s="123"/>
      <c r="N27" s="122"/>
      <c r="O27" s="122"/>
      <c r="P27" s="122"/>
      <c r="R27" s="1" t="s">
        <v>91</v>
      </c>
      <c r="S27" s="1">
        <v>23.4</v>
      </c>
      <c r="T27" s="32">
        <v>1</v>
      </c>
      <c r="U27" s="26">
        <v>0.1</v>
      </c>
      <c r="V27" s="28">
        <f t="shared" si="0"/>
        <v>25.740000000000002</v>
      </c>
    </row>
    <row r="28" spans="1:22" ht="30" customHeight="1" thickBot="1">
      <c r="A28" s="124"/>
      <c r="B28" s="290"/>
      <c r="C28" s="122"/>
      <c r="D28" s="122"/>
      <c r="E28" s="122"/>
      <c r="F28" s="122"/>
      <c r="G28" s="122"/>
      <c r="H28" s="122"/>
      <c r="I28" s="123"/>
      <c r="J28" s="123"/>
      <c r="K28" s="123"/>
      <c r="L28" s="123"/>
      <c r="M28" s="123"/>
      <c r="N28" s="122"/>
      <c r="O28" s="122"/>
      <c r="P28" s="122"/>
      <c r="R28" s="1" t="s">
        <v>92</v>
      </c>
      <c r="S28" s="1">
        <v>23.4</v>
      </c>
      <c r="T28" s="32">
        <v>1</v>
      </c>
      <c r="U28" s="26">
        <v>0.1</v>
      </c>
      <c r="V28" s="28">
        <f t="shared" si="0"/>
        <v>25.740000000000002</v>
      </c>
    </row>
    <row r="29" spans="1:22" ht="30" customHeight="1" thickBot="1">
      <c r="A29" s="124"/>
      <c r="B29" s="290"/>
      <c r="C29" s="122"/>
      <c r="D29" s="122"/>
      <c r="E29" s="122"/>
      <c r="F29" s="122"/>
      <c r="G29" s="122"/>
      <c r="H29" s="122"/>
      <c r="I29" s="123"/>
      <c r="J29" s="123"/>
      <c r="K29" s="123"/>
      <c r="L29" s="123"/>
      <c r="M29" s="123"/>
      <c r="N29" s="122"/>
      <c r="O29" s="122"/>
      <c r="P29" s="122"/>
      <c r="R29" s="1" t="s">
        <v>93</v>
      </c>
      <c r="S29" s="1">
        <v>23.4</v>
      </c>
      <c r="T29" s="32">
        <v>1</v>
      </c>
      <c r="U29" s="26">
        <v>0.1</v>
      </c>
      <c r="V29" s="28">
        <f t="shared" si="0"/>
        <v>25.740000000000002</v>
      </c>
    </row>
    <row r="30" spans="1:22" ht="30" customHeight="1" thickBot="1">
      <c r="A30" s="124"/>
      <c r="B30" s="290"/>
      <c r="C30" s="122"/>
      <c r="D30" s="122"/>
      <c r="E30" s="122"/>
      <c r="F30" s="122"/>
      <c r="G30" s="122"/>
      <c r="H30" s="122"/>
      <c r="I30" s="123"/>
      <c r="J30" s="123"/>
      <c r="K30" s="123"/>
      <c r="L30" s="123"/>
      <c r="M30" s="123"/>
      <c r="N30" s="122"/>
      <c r="O30" s="122"/>
      <c r="P30" s="122"/>
      <c r="R30" s="1" t="s">
        <v>94</v>
      </c>
      <c r="S30" s="1">
        <v>4.0999999999999996</v>
      </c>
      <c r="T30" s="32">
        <v>1</v>
      </c>
      <c r="U30" s="26">
        <v>0.1</v>
      </c>
      <c r="V30" s="28">
        <f t="shared" si="0"/>
        <v>4.51</v>
      </c>
    </row>
    <row r="31" spans="1:22" ht="30" customHeight="1" thickBot="1">
      <c r="A31" s="124"/>
      <c r="B31" s="290"/>
      <c r="C31" s="122"/>
      <c r="D31" s="122"/>
      <c r="E31" s="122"/>
      <c r="F31" s="122"/>
      <c r="G31" s="122"/>
      <c r="H31" s="122"/>
      <c r="I31" s="123"/>
      <c r="J31" s="123"/>
      <c r="K31" s="123"/>
      <c r="L31" s="123"/>
      <c r="M31" s="123"/>
      <c r="N31" s="122"/>
      <c r="O31" s="122"/>
      <c r="P31" s="122"/>
      <c r="R31" s="1" t="s">
        <v>95</v>
      </c>
      <c r="S31" s="1">
        <v>4.0999999999999996</v>
      </c>
      <c r="T31" s="32">
        <v>1</v>
      </c>
      <c r="U31" s="26">
        <v>0.1</v>
      </c>
      <c r="V31" s="28">
        <f t="shared" si="0"/>
        <v>4.51</v>
      </c>
    </row>
    <row r="32" spans="1:22" ht="30" customHeight="1">
      <c r="A32" s="124"/>
      <c r="B32" s="290"/>
      <c r="C32" s="122"/>
      <c r="D32" s="122"/>
      <c r="E32" s="122"/>
      <c r="F32" s="122"/>
      <c r="G32" s="122"/>
      <c r="H32" s="122"/>
      <c r="I32" s="123"/>
      <c r="J32" s="123"/>
      <c r="K32" s="123"/>
      <c r="L32" s="123"/>
      <c r="M32" s="123"/>
      <c r="N32" s="122"/>
      <c r="O32" s="122"/>
      <c r="P32" s="122"/>
      <c r="R32" s="1" t="s">
        <v>96</v>
      </c>
      <c r="S32" s="1">
        <v>4.0999999999999996</v>
      </c>
      <c r="T32" s="32">
        <v>1</v>
      </c>
      <c r="U32" s="26">
        <v>0.1</v>
      </c>
      <c r="V32" s="28">
        <f t="shared" si="0"/>
        <v>4.51</v>
      </c>
    </row>
    <row r="33" spans="1:22" ht="30" customHeight="1">
      <c r="A33" s="124"/>
      <c r="B33" s="290"/>
      <c r="C33" s="122"/>
      <c r="D33" s="122"/>
      <c r="E33" s="122"/>
      <c r="F33" s="122"/>
      <c r="G33" s="122"/>
      <c r="H33" s="122"/>
      <c r="I33" s="123"/>
      <c r="J33" s="123"/>
      <c r="K33" s="123"/>
      <c r="L33" s="123"/>
      <c r="M33" s="123"/>
      <c r="N33" s="122"/>
      <c r="O33" s="122"/>
      <c r="P33" s="122"/>
      <c r="R33" s="3" t="s">
        <v>97</v>
      </c>
      <c r="S33" s="3">
        <v>3.9</v>
      </c>
      <c r="T33" s="32">
        <v>1</v>
      </c>
      <c r="U33" s="26">
        <v>0.1</v>
      </c>
      <c r="V33" s="28">
        <f t="shared" si="0"/>
        <v>4.29</v>
      </c>
    </row>
    <row r="34" spans="1:22" ht="30" customHeight="1">
      <c r="A34" s="124"/>
      <c r="B34" s="290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2"/>
      <c r="O34" s="122"/>
      <c r="P34" s="122"/>
      <c r="R34" s="3" t="s">
        <v>115</v>
      </c>
      <c r="S34" s="3">
        <v>3.9</v>
      </c>
      <c r="T34" s="32">
        <v>1</v>
      </c>
      <c r="U34" s="26">
        <v>0.1</v>
      </c>
      <c r="V34" s="28">
        <f t="shared" si="0"/>
        <v>4.29</v>
      </c>
    </row>
    <row r="35" spans="1:22" ht="30" customHeight="1">
      <c r="A35" s="124"/>
      <c r="B35" s="290"/>
      <c r="C35" s="122"/>
      <c r="D35" s="122"/>
      <c r="E35" s="122"/>
      <c r="F35" s="122"/>
      <c r="G35" s="122"/>
      <c r="H35" s="122"/>
      <c r="I35" s="123"/>
      <c r="J35" s="123"/>
      <c r="K35" s="123"/>
      <c r="L35" s="123"/>
      <c r="M35" s="123"/>
      <c r="N35" s="122"/>
      <c r="O35" s="122"/>
      <c r="P35" s="122"/>
      <c r="R35" s="3" t="s">
        <v>117</v>
      </c>
      <c r="S35" s="3">
        <v>3.9</v>
      </c>
      <c r="T35" s="32">
        <v>1</v>
      </c>
      <c r="U35" s="26">
        <v>0.1</v>
      </c>
      <c r="V35" s="28">
        <f t="shared" si="0"/>
        <v>4.29</v>
      </c>
    </row>
    <row r="36" spans="1:22" ht="30" customHeight="1">
      <c r="A36" s="124"/>
      <c r="B36" s="290"/>
      <c r="C36" s="122"/>
      <c r="D36" s="122"/>
      <c r="E36" s="122"/>
      <c r="F36" s="122"/>
      <c r="G36" s="122"/>
      <c r="H36" s="122"/>
      <c r="I36" s="123"/>
      <c r="J36" s="123"/>
      <c r="K36" s="123"/>
      <c r="L36" s="123"/>
      <c r="M36" s="123"/>
      <c r="N36" s="122"/>
      <c r="O36" s="122"/>
      <c r="P36" s="122"/>
      <c r="R36" s="3" t="s">
        <v>98</v>
      </c>
      <c r="S36" s="3">
        <v>23.4</v>
      </c>
      <c r="T36" s="32">
        <v>1</v>
      </c>
      <c r="U36" s="26">
        <v>0.1</v>
      </c>
      <c r="V36" s="28">
        <f t="shared" si="0"/>
        <v>25.740000000000002</v>
      </c>
    </row>
    <row r="37" spans="1:22" ht="30" customHeight="1">
      <c r="A37" s="124"/>
      <c r="B37" s="290"/>
      <c r="C37" s="122"/>
      <c r="D37" s="122"/>
      <c r="E37" s="122"/>
      <c r="F37" s="122"/>
      <c r="G37" s="122"/>
      <c r="H37" s="122"/>
      <c r="I37" s="123"/>
      <c r="J37" s="123"/>
      <c r="K37" s="123"/>
      <c r="L37" s="123"/>
      <c r="M37" s="123"/>
      <c r="N37" s="122"/>
      <c r="O37" s="122"/>
      <c r="P37" s="122"/>
      <c r="R37" s="3" t="s">
        <v>99</v>
      </c>
      <c r="S37" s="3">
        <v>23.4</v>
      </c>
      <c r="T37" s="32">
        <v>1</v>
      </c>
      <c r="U37" s="26">
        <v>0.1</v>
      </c>
      <c r="V37" s="28">
        <f t="shared" si="0"/>
        <v>25.740000000000002</v>
      </c>
    </row>
    <row r="38" spans="1:22" ht="30" customHeight="1" thickBot="1">
      <c r="A38" s="124"/>
      <c r="B38" s="290"/>
      <c r="C38" s="122"/>
      <c r="D38" s="122"/>
      <c r="E38" s="122"/>
      <c r="F38" s="122"/>
      <c r="G38" s="122"/>
      <c r="H38" s="122"/>
      <c r="I38" s="123"/>
      <c r="J38" s="123"/>
      <c r="K38" s="123"/>
      <c r="L38" s="123"/>
      <c r="M38" s="123"/>
      <c r="N38" s="122"/>
      <c r="O38" s="122"/>
      <c r="P38" s="122"/>
      <c r="R38" s="3" t="s">
        <v>100</v>
      </c>
      <c r="S38" s="3">
        <v>23.4</v>
      </c>
      <c r="T38" s="32">
        <v>1</v>
      </c>
      <c r="U38" s="26">
        <v>0.1</v>
      </c>
      <c r="V38" s="28">
        <f t="shared" si="0"/>
        <v>25.740000000000002</v>
      </c>
    </row>
    <row r="39" spans="1:22" ht="30" customHeight="1">
      <c r="A39" s="124"/>
      <c r="B39" s="290"/>
      <c r="C39" s="122"/>
      <c r="D39" s="122"/>
      <c r="E39" s="122"/>
      <c r="F39" s="122"/>
      <c r="G39" s="122"/>
      <c r="H39" s="122"/>
      <c r="I39" s="123"/>
      <c r="J39" s="123"/>
      <c r="K39" s="123"/>
      <c r="L39" s="123"/>
      <c r="M39" s="123"/>
      <c r="N39" s="122"/>
      <c r="O39" s="122"/>
      <c r="P39" s="122"/>
      <c r="R39" s="1" t="s">
        <v>71</v>
      </c>
      <c r="S39" s="27">
        <v>4.0999999999999996</v>
      </c>
      <c r="T39" s="32">
        <v>1</v>
      </c>
      <c r="U39" s="26">
        <v>0.1</v>
      </c>
      <c r="V39" s="28">
        <f t="shared" si="0"/>
        <v>4.51</v>
      </c>
    </row>
    <row r="40" spans="1:22" ht="30" customHeight="1">
      <c r="A40" s="124"/>
      <c r="B40" s="290"/>
      <c r="C40" s="122"/>
      <c r="D40" s="122"/>
      <c r="E40" s="122"/>
      <c r="F40" s="122"/>
      <c r="G40" s="122"/>
      <c r="H40" s="122"/>
      <c r="I40" s="123"/>
      <c r="J40" s="123"/>
      <c r="K40" s="123"/>
      <c r="L40" s="123"/>
      <c r="M40" s="123"/>
      <c r="N40" s="122"/>
      <c r="O40" s="122"/>
      <c r="P40" s="122"/>
      <c r="R40" s="3" t="s">
        <v>72</v>
      </c>
      <c r="S40" s="27">
        <v>3.9</v>
      </c>
      <c r="T40" s="32">
        <v>1</v>
      </c>
      <c r="U40" s="26">
        <v>0.1</v>
      </c>
      <c r="V40" s="28">
        <f t="shared" si="0"/>
        <v>4.29</v>
      </c>
    </row>
    <row r="41" spans="1:22" ht="30" customHeight="1" thickBot="1">
      <c r="A41" s="124"/>
      <c r="B41" s="290"/>
      <c r="C41" s="122"/>
      <c r="D41" s="122"/>
      <c r="E41" s="122"/>
      <c r="F41" s="122"/>
      <c r="G41" s="122"/>
      <c r="H41" s="122"/>
      <c r="I41" s="123"/>
      <c r="J41" s="123"/>
      <c r="K41" s="123"/>
      <c r="L41" s="123"/>
      <c r="M41" s="123"/>
      <c r="N41" s="122"/>
      <c r="O41" s="122"/>
      <c r="P41" s="122"/>
      <c r="R41" s="3" t="s">
        <v>73</v>
      </c>
      <c r="S41" s="27">
        <v>23.4</v>
      </c>
      <c r="T41" s="32">
        <v>1</v>
      </c>
      <c r="U41" s="26">
        <v>0.1</v>
      </c>
      <c r="V41" s="28">
        <f t="shared" si="0"/>
        <v>25.740000000000002</v>
      </c>
    </row>
    <row r="42" spans="1:22" ht="30" customHeight="1" thickBot="1">
      <c r="A42" s="383" t="s">
        <v>148</v>
      </c>
      <c r="B42" s="384"/>
      <c r="C42" s="384"/>
      <c r="D42" s="384"/>
      <c r="E42" s="385"/>
      <c r="F42" s="122"/>
      <c r="G42" s="122"/>
      <c r="H42" s="122"/>
      <c r="I42" s="123"/>
      <c r="J42" s="123"/>
      <c r="K42" s="123"/>
      <c r="L42" s="123"/>
      <c r="M42" s="123"/>
      <c r="N42" s="122"/>
      <c r="O42" s="122"/>
      <c r="P42" s="122"/>
      <c r="R42" s="1" t="s">
        <v>55</v>
      </c>
      <c r="S42" s="27">
        <v>20</v>
      </c>
      <c r="T42" s="32">
        <v>1</v>
      </c>
      <c r="U42" s="26">
        <v>0.1</v>
      </c>
      <c r="V42" s="28">
        <f t="shared" si="0"/>
        <v>22</v>
      </c>
    </row>
    <row r="43" spans="1:22" s="109" customFormat="1" ht="30" customHeight="1" thickBot="1">
      <c r="A43" s="130" t="s">
        <v>186</v>
      </c>
      <c r="B43" s="131" t="s">
        <v>151</v>
      </c>
      <c r="C43" s="386" t="s">
        <v>185</v>
      </c>
      <c r="D43" s="387"/>
      <c r="E43" s="388"/>
      <c r="F43" s="132"/>
      <c r="G43" s="132"/>
      <c r="H43" s="133"/>
      <c r="I43" s="133"/>
      <c r="J43" s="133"/>
      <c r="K43" s="133"/>
      <c r="L43" s="133"/>
      <c r="M43" s="133"/>
      <c r="N43" s="133"/>
      <c r="O43" s="133"/>
      <c r="P43" s="132"/>
      <c r="R43" s="1" t="s">
        <v>56</v>
      </c>
      <c r="S43" s="27">
        <v>13</v>
      </c>
      <c r="T43" s="32">
        <v>1</v>
      </c>
      <c r="U43" s="26">
        <v>0.1</v>
      </c>
      <c r="V43" s="28">
        <f t="shared" si="0"/>
        <v>14.3</v>
      </c>
    </row>
    <row r="44" spans="1:22" s="109" customFormat="1" ht="30" customHeight="1" thickBot="1">
      <c r="A44" s="139">
        <f>+'DEVIS AURI'!$F$10</f>
        <v>0</v>
      </c>
      <c r="B44" s="140">
        <f>+'DEVIS AURI'!$B$29</f>
        <v>0</v>
      </c>
      <c r="C44" s="381">
        <f>('DEVIS AURI'!$B$30)-$H$3</f>
        <v>-2.0833333333333332E-2</v>
      </c>
      <c r="D44" s="381"/>
      <c r="E44" s="382"/>
      <c r="F44" s="132"/>
      <c r="G44" s="132"/>
      <c r="H44" s="133"/>
      <c r="I44" s="141"/>
      <c r="J44" s="141"/>
      <c r="K44" s="141"/>
      <c r="L44" s="141"/>
      <c r="M44" s="141"/>
      <c r="N44" s="142"/>
      <c r="O44" s="133"/>
      <c r="P44" s="132"/>
      <c r="R44" s="1" t="s">
        <v>88</v>
      </c>
      <c r="S44" s="27">
        <f>24*0.7</f>
        <v>16.799999999999997</v>
      </c>
      <c r="T44" s="32">
        <v>1</v>
      </c>
      <c r="U44" s="26">
        <v>0.1</v>
      </c>
      <c r="V44" s="28">
        <f t="shared" si="0"/>
        <v>18.479999999999997</v>
      </c>
    </row>
    <row r="45" spans="1:22" ht="30" customHeight="1" thickBot="1">
      <c r="B45" s="290"/>
      <c r="C45" s="122"/>
      <c r="E45" s="122"/>
      <c r="F45" s="122"/>
      <c r="G45" s="122"/>
      <c r="H45" s="126"/>
      <c r="I45" s="127"/>
      <c r="J45" s="127"/>
      <c r="K45" s="127"/>
      <c r="L45" s="127"/>
      <c r="M45" s="127"/>
      <c r="N45" s="126"/>
      <c r="O45" s="126"/>
      <c r="P45" s="122"/>
      <c r="R45" s="33" t="s">
        <v>89</v>
      </c>
      <c r="S45" s="27">
        <f>1.3*6</f>
        <v>7.8000000000000007</v>
      </c>
      <c r="T45" s="32">
        <v>1</v>
      </c>
      <c r="U45" s="26">
        <v>0.1</v>
      </c>
      <c r="V45" s="28">
        <f t="shared" si="0"/>
        <v>8.5800000000000018</v>
      </c>
    </row>
    <row r="46" spans="1:22" ht="30" customHeight="1" thickTop="1">
      <c r="A46" s="378" t="s">
        <v>91</v>
      </c>
      <c r="B46" s="379"/>
      <c r="C46" s="379"/>
      <c r="D46" s="380"/>
      <c r="E46" s="295">
        <f>SUMIF('DEVIS AURI'!$B$39:$B$56,PREPARATION!A46,'DEVIS AURI'!$C$39:$C$56)</f>
        <v>0</v>
      </c>
      <c r="F46" s="122"/>
      <c r="G46" s="122"/>
      <c r="H46" s="126"/>
      <c r="I46" s="127"/>
      <c r="J46" s="127"/>
      <c r="K46" s="127"/>
      <c r="L46" s="127"/>
      <c r="M46" s="127"/>
      <c r="N46" s="126"/>
      <c r="O46" s="126"/>
      <c r="P46" s="122"/>
      <c r="R46" s="3" t="s">
        <v>90</v>
      </c>
      <c r="S46" s="27">
        <f>2.1*6</f>
        <v>12.600000000000001</v>
      </c>
      <c r="T46" s="32">
        <v>1</v>
      </c>
      <c r="U46" s="26">
        <v>0.1</v>
      </c>
      <c r="V46" s="28">
        <f t="shared" si="0"/>
        <v>13.860000000000003</v>
      </c>
    </row>
    <row r="47" spans="1:22" ht="30" customHeight="1">
      <c r="A47" s="372" t="s">
        <v>92</v>
      </c>
      <c r="B47" s="373"/>
      <c r="C47" s="373"/>
      <c r="D47" s="374"/>
      <c r="E47" s="296">
        <f>SUMIF('DEVIS AURI'!$B$39:$B$56,PREPARATION!A47,'DEVIS AURI'!$C$39:$C$56)</f>
        <v>0</v>
      </c>
      <c r="F47" s="122"/>
      <c r="G47" s="122"/>
      <c r="H47" s="125"/>
      <c r="I47" s="127"/>
      <c r="J47" s="127"/>
      <c r="K47" s="127"/>
      <c r="L47" s="127"/>
      <c r="M47" s="127"/>
      <c r="N47" s="126"/>
      <c r="O47" s="126"/>
      <c r="P47" s="122"/>
      <c r="R47" s="3" t="s">
        <v>58</v>
      </c>
      <c r="S47" s="27">
        <v>3.8</v>
      </c>
      <c r="T47" s="32">
        <v>1</v>
      </c>
      <c r="U47" s="26">
        <v>0.1</v>
      </c>
      <c r="V47" s="28">
        <f t="shared" si="0"/>
        <v>4.18</v>
      </c>
    </row>
    <row r="48" spans="1:22" ht="30" customHeight="1">
      <c r="A48" s="372" t="s">
        <v>93</v>
      </c>
      <c r="B48" s="373"/>
      <c r="C48" s="373"/>
      <c r="D48" s="374"/>
      <c r="E48" s="296">
        <f>SUMIF('DEVIS AURI'!$B$39:$B$56,PREPARATION!A48,'DEVIS AURI'!$C$39:$C$56)</f>
        <v>0</v>
      </c>
      <c r="F48" s="122"/>
      <c r="G48" s="122"/>
      <c r="H48" s="125"/>
      <c r="I48" s="127"/>
      <c r="J48" s="127"/>
      <c r="K48" s="127"/>
      <c r="L48" s="127"/>
      <c r="M48" s="127"/>
      <c r="N48" s="126"/>
      <c r="O48" s="126"/>
      <c r="P48" s="122"/>
      <c r="R48" s="24" t="s">
        <v>69</v>
      </c>
      <c r="S48" s="27">
        <v>3.8</v>
      </c>
      <c r="T48" s="32">
        <v>1</v>
      </c>
      <c r="U48" s="26">
        <v>0.1</v>
      </c>
      <c r="V48" s="28">
        <f t="shared" si="0"/>
        <v>4.18</v>
      </c>
    </row>
    <row r="49" spans="1:22" ht="30" customHeight="1">
      <c r="A49" s="372" t="s">
        <v>94</v>
      </c>
      <c r="B49" s="373"/>
      <c r="C49" s="373"/>
      <c r="D49" s="374"/>
      <c r="E49" s="296">
        <f>SUMIF('DEVIS AURI'!$B$39:$B$56,PREPARATION!A49,'DEVIS AURI'!$C$39:$C$56)</f>
        <v>0</v>
      </c>
      <c r="F49" s="122"/>
      <c r="G49" s="122"/>
      <c r="H49" s="125"/>
      <c r="I49" s="127"/>
      <c r="J49" s="127"/>
      <c r="K49" s="127"/>
      <c r="L49" s="127"/>
      <c r="M49" s="127"/>
      <c r="N49" s="126"/>
      <c r="O49" s="126"/>
      <c r="P49" s="122"/>
      <c r="R49" s="24" t="s">
        <v>80</v>
      </c>
      <c r="S49" s="27">
        <v>1.8</v>
      </c>
      <c r="T49" s="32">
        <v>2</v>
      </c>
      <c r="U49" s="26">
        <v>0.2</v>
      </c>
      <c r="V49" s="28">
        <f t="shared" si="0"/>
        <v>2.16</v>
      </c>
    </row>
    <row r="50" spans="1:22" ht="30" customHeight="1">
      <c r="A50" s="372" t="s">
        <v>95</v>
      </c>
      <c r="B50" s="373"/>
      <c r="C50" s="373"/>
      <c r="D50" s="374"/>
      <c r="E50" s="296">
        <f>SUMIF('DEVIS AURI'!$B$39:$B$56,PREPARATION!A50,'DEVIS AURI'!$C$39:$C$56)</f>
        <v>0</v>
      </c>
      <c r="F50" s="122"/>
      <c r="G50" s="122"/>
      <c r="H50" s="125"/>
      <c r="I50" s="127"/>
      <c r="J50" s="127"/>
      <c r="K50" s="127"/>
      <c r="L50" s="127"/>
      <c r="M50" s="127"/>
      <c r="N50" s="126"/>
      <c r="O50" s="126"/>
      <c r="P50" s="122"/>
      <c r="R50" s="3" t="s">
        <v>59</v>
      </c>
      <c r="S50" s="27">
        <v>28.8</v>
      </c>
      <c r="T50" s="32">
        <v>2</v>
      </c>
      <c r="U50" s="26">
        <v>0.2</v>
      </c>
      <c r="V50" s="28">
        <f t="shared" si="0"/>
        <v>34.56</v>
      </c>
    </row>
    <row r="51" spans="1:22" ht="30" customHeight="1">
      <c r="A51" s="372" t="s">
        <v>96</v>
      </c>
      <c r="B51" s="373"/>
      <c r="C51" s="373"/>
      <c r="D51" s="374"/>
      <c r="E51" s="296">
        <f>SUMIF('DEVIS AURI'!$B$39:$B$56,PREPARATION!A51,'DEVIS AURI'!$C$39:$C$56)</f>
        <v>0</v>
      </c>
      <c r="F51" s="122"/>
      <c r="G51" s="122"/>
      <c r="H51" s="125"/>
      <c r="I51" s="127"/>
      <c r="J51" s="127"/>
      <c r="K51" s="127"/>
      <c r="L51" s="127"/>
      <c r="M51" s="127"/>
      <c r="N51" s="126"/>
      <c r="O51" s="126"/>
      <c r="P51" s="122"/>
      <c r="R51" s="18" t="s">
        <v>60</v>
      </c>
      <c r="S51" s="27">
        <v>6.6</v>
      </c>
      <c r="T51" s="32">
        <v>2</v>
      </c>
      <c r="U51" s="26">
        <v>0.2</v>
      </c>
      <c r="V51" s="28">
        <f t="shared" si="0"/>
        <v>7.919999999999999</v>
      </c>
    </row>
    <row r="52" spans="1:22" ht="30" customHeight="1">
      <c r="A52" s="372" t="s">
        <v>97</v>
      </c>
      <c r="B52" s="373"/>
      <c r="C52" s="373"/>
      <c r="D52" s="374"/>
      <c r="E52" s="296">
        <f>SUMIF('DEVIS AURI'!$B$39:$B$56,PREPARATION!A52,'DEVIS AURI'!$C$39:$C$56)</f>
        <v>0</v>
      </c>
      <c r="F52" s="122"/>
      <c r="G52" s="122"/>
      <c r="H52" s="125"/>
      <c r="I52" s="127"/>
      <c r="J52" s="127"/>
      <c r="K52" s="127"/>
      <c r="L52" s="127"/>
      <c r="M52" s="127"/>
      <c r="N52" s="126"/>
      <c r="O52" s="126"/>
      <c r="P52" s="122"/>
      <c r="R52" s="18" t="s">
        <v>61</v>
      </c>
      <c r="S52" s="27">
        <v>12</v>
      </c>
      <c r="T52" s="32">
        <v>2</v>
      </c>
      <c r="U52" s="26">
        <v>0.2</v>
      </c>
      <c r="V52" s="28">
        <f t="shared" si="0"/>
        <v>14.399999999999999</v>
      </c>
    </row>
    <row r="53" spans="1:22" ht="30" customHeight="1">
      <c r="A53" s="372" t="s">
        <v>115</v>
      </c>
      <c r="B53" s="373"/>
      <c r="C53" s="373"/>
      <c r="D53" s="374"/>
      <c r="E53" s="296">
        <f>SUMIF('DEVIS AURI'!$B$39:$B$56,PREPARATION!A53,'DEVIS AURI'!$C$39:$C$56)</f>
        <v>0</v>
      </c>
      <c r="F53" s="122"/>
      <c r="G53" s="122"/>
      <c r="H53" s="128"/>
      <c r="I53" s="127"/>
      <c r="J53" s="127"/>
      <c r="K53" s="127"/>
      <c r="L53" s="127"/>
      <c r="M53" s="127"/>
      <c r="N53" s="126"/>
      <c r="O53" s="126"/>
      <c r="P53" s="122"/>
      <c r="R53" s="10" t="s">
        <v>106</v>
      </c>
      <c r="S53" s="27">
        <v>15.1</v>
      </c>
      <c r="T53" s="32">
        <v>2</v>
      </c>
      <c r="U53" s="26">
        <v>0.2</v>
      </c>
      <c r="V53" s="28">
        <f>+S53*(1+U53)</f>
        <v>18.119999999999997</v>
      </c>
    </row>
    <row r="54" spans="1:22" ht="30" customHeight="1">
      <c r="A54" s="372" t="s">
        <v>117</v>
      </c>
      <c r="B54" s="373"/>
      <c r="C54" s="373"/>
      <c r="D54" s="374"/>
      <c r="E54" s="296">
        <f>SUMIF('DEVIS AURI'!$B$39:$B$56,PREPARATION!A54,'DEVIS AURI'!$C$39:$C$56)</f>
        <v>0</v>
      </c>
      <c r="F54" s="122"/>
      <c r="G54" s="122"/>
      <c r="H54" s="128"/>
      <c r="I54" s="127"/>
      <c r="J54" s="127"/>
      <c r="K54" s="127"/>
      <c r="L54" s="127"/>
      <c r="M54" s="127"/>
      <c r="N54" s="126"/>
      <c r="O54" s="126"/>
      <c r="P54" s="122"/>
      <c r="R54" s="3" t="s">
        <v>105</v>
      </c>
      <c r="S54" s="27">
        <v>15.1</v>
      </c>
      <c r="T54" s="32">
        <v>2</v>
      </c>
      <c r="U54" s="26">
        <v>0.2</v>
      </c>
      <c r="V54" s="28">
        <f>+S54*(1+U54)</f>
        <v>18.119999999999997</v>
      </c>
    </row>
    <row r="55" spans="1:22" ht="30" customHeight="1">
      <c r="A55" s="372" t="s">
        <v>98</v>
      </c>
      <c r="B55" s="373"/>
      <c r="C55" s="373"/>
      <c r="D55" s="374"/>
      <c r="E55" s="296">
        <f>SUMIF('DEVIS AURI'!$B$39:$B$56,PREPARATION!A55,'DEVIS AURI'!$C$39:$C$56)</f>
        <v>0</v>
      </c>
      <c r="F55" s="122"/>
      <c r="G55" s="122"/>
      <c r="H55" s="125"/>
      <c r="I55" s="127"/>
      <c r="J55" s="127"/>
      <c r="K55" s="127"/>
      <c r="L55" s="127"/>
      <c r="M55" s="127"/>
      <c r="N55" s="126"/>
      <c r="O55" s="126"/>
      <c r="P55" s="122"/>
      <c r="R55" s="3" t="s">
        <v>104</v>
      </c>
      <c r="S55" s="27">
        <v>15.1</v>
      </c>
      <c r="T55" s="32">
        <v>2</v>
      </c>
      <c r="U55" s="26">
        <v>0.2</v>
      </c>
      <c r="V55" s="28">
        <f>+S55*(1+U55)</f>
        <v>18.119999999999997</v>
      </c>
    </row>
    <row r="56" spans="1:22" ht="30" customHeight="1" thickBot="1">
      <c r="A56" s="372" t="s">
        <v>99</v>
      </c>
      <c r="B56" s="373"/>
      <c r="C56" s="373"/>
      <c r="D56" s="374"/>
      <c r="E56" s="296">
        <f>SUMIF('DEVIS AURI'!$B$39:$B$56,PREPARATION!A56,'DEVIS AURI'!$C$39:$C$56)</f>
        <v>0</v>
      </c>
      <c r="F56" s="122"/>
      <c r="G56" s="122"/>
      <c r="H56" s="125"/>
      <c r="I56" s="127"/>
      <c r="J56" s="127"/>
      <c r="K56" s="127"/>
      <c r="L56" s="127"/>
      <c r="M56" s="127"/>
      <c r="N56" s="126"/>
      <c r="O56" s="126"/>
      <c r="P56" s="122"/>
      <c r="R56" s="3" t="s">
        <v>14</v>
      </c>
      <c r="S56" s="27">
        <v>5.8</v>
      </c>
      <c r="T56" s="32">
        <v>2</v>
      </c>
      <c r="U56" s="26">
        <v>0.2</v>
      </c>
      <c r="V56" s="28">
        <f t="shared" si="0"/>
        <v>6.96</v>
      </c>
    </row>
    <row r="57" spans="1:22" ht="30" customHeight="1">
      <c r="A57" s="372" t="s">
        <v>100</v>
      </c>
      <c r="B57" s="373"/>
      <c r="C57" s="373"/>
      <c r="D57" s="374"/>
      <c r="E57" s="296">
        <f>SUMIF('DEVIS AURI'!$B$39:$B$56,PREPARATION!A57,'DEVIS AURI'!$C$39:$C$56)</f>
        <v>0</v>
      </c>
      <c r="F57" s="122"/>
      <c r="G57" s="122"/>
      <c r="H57" s="125"/>
      <c r="I57" s="127"/>
      <c r="J57" s="127"/>
      <c r="K57" s="127"/>
      <c r="L57" s="127"/>
      <c r="M57" s="127"/>
      <c r="N57" s="126"/>
      <c r="O57" s="126"/>
      <c r="P57" s="122"/>
      <c r="R57" s="1" t="s">
        <v>74</v>
      </c>
      <c r="S57" s="27">
        <v>1.5</v>
      </c>
      <c r="T57" s="32">
        <v>2</v>
      </c>
      <c r="U57" s="26">
        <v>0.2</v>
      </c>
      <c r="V57" s="28">
        <f t="shared" si="0"/>
        <v>1.7999999999999998</v>
      </c>
    </row>
    <row r="58" spans="1:22" ht="30" customHeight="1">
      <c r="A58" s="372" t="s">
        <v>71</v>
      </c>
      <c r="B58" s="373"/>
      <c r="C58" s="373"/>
      <c r="D58" s="374"/>
      <c r="E58" s="296">
        <f>SUMIF('DEVIS AURI'!$B$39:$B$56,PREPARATION!A58,'DEVIS AURI'!$C$39:$C$56)</f>
        <v>0</v>
      </c>
      <c r="F58" s="122"/>
      <c r="G58" s="122"/>
      <c r="H58" s="125"/>
      <c r="I58" s="127"/>
      <c r="J58" s="127"/>
      <c r="K58" s="127"/>
      <c r="L58" s="127"/>
      <c r="M58" s="127"/>
      <c r="N58" s="126"/>
      <c r="O58" s="126"/>
      <c r="P58" s="122"/>
      <c r="R58" s="3" t="s">
        <v>75</v>
      </c>
      <c r="S58" s="27">
        <v>18</v>
      </c>
      <c r="T58" s="32">
        <v>2</v>
      </c>
      <c r="U58" s="26">
        <v>0.2</v>
      </c>
      <c r="V58" s="28">
        <f t="shared" si="0"/>
        <v>21.599999999999998</v>
      </c>
    </row>
    <row r="59" spans="1:22" ht="30" customHeight="1">
      <c r="A59" s="372" t="s">
        <v>72</v>
      </c>
      <c r="B59" s="373"/>
      <c r="C59" s="373"/>
      <c r="D59" s="374"/>
      <c r="E59" s="296">
        <f>SUMIF('DEVIS AURI'!$B$39:$B$56,PREPARATION!A59,'DEVIS AURI'!$C$39:$C$56)</f>
        <v>0</v>
      </c>
      <c r="F59" s="122"/>
      <c r="G59" s="122"/>
      <c r="H59" s="125"/>
      <c r="I59" s="127"/>
      <c r="J59" s="127"/>
      <c r="K59" s="127"/>
      <c r="L59" s="127"/>
      <c r="M59" s="127"/>
      <c r="N59" s="126"/>
      <c r="O59" s="126"/>
      <c r="P59" s="122"/>
      <c r="R59" s="3" t="s">
        <v>3</v>
      </c>
      <c r="S59" s="27">
        <v>10</v>
      </c>
      <c r="T59" s="32">
        <v>2</v>
      </c>
      <c r="U59" s="26">
        <v>0.2</v>
      </c>
      <c r="V59" s="28">
        <f>+S59*(1+U59)</f>
        <v>12</v>
      </c>
    </row>
    <row r="60" spans="1:22" ht="30" customHeight="1" thickBot="1">
      <c r="A60" s="375" t="s">
        <v>73</v>
      </c>
      <c r="B60" s="376"/>
      <c r="C60" s="376"/>
      <c r="D60" s="377"/>
      <c r="E60" s="297">
        <f>SUMIF('DEVIS AURI'!$B$39:$B$56,PREPARATION!A60,'DEVIS AURI'!$C$39:$C$56)</f>
        <v>0</v>
      </c>
      <c r="F60" s="122"/>
      <c r="G60" s="122"/>
      <c r="H60" s="125"/>
      <c r="I60" s="127"/>
      <c r="J60" s="127"/>
      <c r="K60" s="127"/>
      <c r="L60" s="127"/>
      <c r="M60" s="127"/>
      <c r="N60" s="126"/>
      <c r="O60" s="126"/>
      <c r="P60" s="122"/>
    </row>
    <row r="61" spans="1:22" ht="30" customHeight="1" thickTop="1">
      <c r="A61" s="122"/>
      <c r="B61" s="132"/>
      <c r="C61" s="122"/>
      <c r="D61" s="122"/>
      <c r="E61" s="122"/>
      <c r="F61" s="122"/>
      <c r="G61" s="122"/>
      <c r="H61" s="125"/>
      <c r="I61" s="127"/>
      <c r="J61" s="127"/>
      <c r="K61" s="127"/>
      <c r="L61" s="127"/>
      <c r="M61" s="127"/>
      <c r="N61" s="126"/>
      <c r="O61" s="126"/>
      <c r="P61" s="122"/>
    </row>
    <row r="62" spans="1:22" ht="30" customHeight="1">
      <c r="A62" s="122"/>
      <c r="B62" s="132"/>
      <c r="C62" s="122"/>
      <c r="D62" s="122"/>
      <c r="E62" s="122"/>
      <c r="F62" s="122"/>
      <c r="G62" s="122"/>
      <c r="H62" s="125"/>
      <c r="I62" s="127"/>
      <c r="J62" s="127"/>
      <c r="K62" s="127"/>
      <c r="L62" s="127"/>
      <c r="M62" s="127"/>
      <c r="N62" s="126"/>
      <c r="O62" s="126"/>
      <c r="P62" s="122"/>
    </row>
    <row r="63" spans="1:22" ht="30" customHeight="1">
      <c r="A63" s="122"/>
      <c r="B63" s="132"/>
      <c r="C63" s="122"/>
      <c r="D63" s="122"/>
      <c r="E63" s="122"/>
      <c r="F63" s="122"/>
      <c r="G63" s="122"/>
      <c r="H63" s="125"/>
      <c r="I63" s="127"/>
      <c r="J63" s="127"/>
      <c r="K63" s="127"/>
      <c r="L63" s="127"/>
      <c r="M63" s="127"/>
      <c r="N63" s="126"/>
      <c r="O63" s="126"/>
      <c r="P63" s="122"/>
    </row>
    <row r="64" spans="1:22" ht="30" customHeight="1">
      <c r="A64" s="122"/>
      <c r="B64" s="132"/>
      <c r="C64" s="122"/>
      <c r="D64" s="122"/>
      <c r="E64" s="122"/>
      <c r="F64" s="122"/>
      <c r="G64" s="122"/>
      <c r="H64" s="125"/>
      <c r="I64" s="127"/>
      <c r="J64" s="127"/>
      <c r="K64" s="127"/>
      <c r="L64" s="127"/>
      <c r="M64" s="127"/>
      <c r="N64" s="126"/>
      <c r="O64" s="126"/>
      <c r="P64" s="122"/>
    </row>
    <row r="65" spans="1:16" ht="30" customHeight="1">
      <c r="A65" s="122"/>
      <c r="B65" s="132"/>
      <c r="C65" s="122"/>
      <c r="D65" s="122"/>
      <c r="E65" s="122"/>
      <c r="F65" s="122"/>
      <c r="G65" s="122"/>
      <c r="H65" s="125"/>
      <c r="I65" s="127"/>
      <c r="J65" s="127"/>
      <c r="K65" s="127"/>
      <c r="L65" s="127"/>
      <c r="M65" s="127"/>
      <c r="N65" s="126"/>
      <c r="O65" s="126"/>
      <c r="P65" s="122"/>
    </row>
    <row r="66" spans="1:16" ht="30" customHeight="1">
      <c r="A66" s="122"/>
      <c r="B66" s="132"/>
      <c r="C66" s="122"/>
      <c r="D66" s="122"/>
      <c r="E66" s="122"/>
      <c r="F66" s="122"/>
      <c r="G66" s="122"/>
      <c r="H66" s="125"/>
      <c r="I66" s="127"/>
      <c r="J66" s="127"/>
      <c r="K66" s="127"/>
      <c r="L66" s="127"/>
      <c r="M66" s="127"/>
      <c r="N66" s="126"/>
      <c r="O66" s="126"/>
      <c r="P66" s="122"/>
    </row>
    <row r="67" spans="1:16" ht="30" customHeight="1">
      <c r="A67" s="122"/>
      <c r="B67" s="132"/>
      <c r="C67" s="122"/>
      <c r="D67" s="122"/>
      <c r="E67" s="122"/>
      <c r="F67" s="122"/>
      <c r="G67" s="122"/>
      <c r="H67" s="125"/>
      <c r="I67" s="127"/>
      <c r="J67" s="127"/>
      <c r="K67" s="127"/>
      <c r="L67" s="127"/>
      <c r="M67" s="127"/>
      <c r="N67" s="126"/>
      <c r="O67" s="126"/>
      <c r="P67" s="122"/>
    </row>
    <row r="68" spans="1:16" ht="30" customHeight="1">
      <c r="A68" s="122"/>
      <c r="B68" s="132"/>
      <c r="C68" s="122"/>
      <c r="D68" s="122"/>
      <c r="E68" s="122"/>
      <c r="F68" s="122"/>
      <c r="G68" s="122"/>
      <c r="H68" s="125"/>
      <c r="I68" s="127"/>
      <c r="J68" s="127"/>
      <c r="K68" s="127"/>
      <c r="L68" s="127"/>
      <c r="M68" s="127"/>
      <c r="N68" s="126"/>
      <c r="O68" s="126"/>
      <c r="P68" s="122"/>
    </row>
    <row r="69" spans="1:16" ht="30" customHeight="1">
      <c r="A69" s="122"/>
      <c r="B69" s="132"/>
      <c r="C69" s="122"/>
      <c r="D69" s="122"/>
      <c r="E69" s="122"/>
      <c r="F69" s="122"/>
      <c r="G69" s="122"/>
      <c r="H69" s="125"/>
      <c r="I69" s="127"/>
      <c r="J69" s="127"/>
      <c r="K69" s="127"/>
      <c r="L69" s="127"/>
      <c r="M69" s="127"/>
      <c r="N69" s="126"/>
      <c r="O69" s="126"/>
      <c r="P69" s="122"/>
    </row>
    <row r="70" spans="1:16" ht="30" customHeight="1">
      <c r="A70" s="122"/>
      <c r="B70" s="132"/>
      <c r="C70" s="122"/>
      <c r="D70" s="122"/>
      <c r="E70" s="122"/>
      <c r="F70" s="122"/>
      <c r="G70" s="122"/>
      <c r="H70" s="125"/>
      <c r="I70" s="127"/>
      <c r="J70" s="127"/>
      <c r="K70" s="127"/>
      <c r="L70" s="127"/>
      <c r="M70" s="127"/>
      <c r="N70" s="126"/>
      <c r="O70" s="126"/>
      <c r="P70" s="122"/>
    </row>
    <row r="71" spans="1:16" ht="30" customHeight="1">
      <c r="A71" s="122"/>
      <c r="B71" s="132"/>
      <c r="C71" s="122"/>
      <c r="D71" s="122"/>
      <c r="E71" s="122"/>
      <c r="F71" s="122"/>
      <c r="G71" s="122"/>
      <c r="H71" s="124"/>
      <c r="I71" s="127"/>
      <c r="J71" s="127"/>
      <c r="K71" s="127"/>
      <c r="L71" s="127"/>
      <c r="M71" s="127"/>
      <c r="N71" s="126"/>
      <c r="O71" s="126"/>
      <c r="P71" s="122"/>
    </row>
    <row r="72" spans="1:16" ht="30" customHeight="1">
      <c r="A72" s="122"/>
      <c r="B72" s="132"/>
      <c r="C72" s="122"/>
      <c r="D72" s="122"/>
      <c r="E72" s="122"/>
      <c r="F72" s="122"/>
      <c r="G72" s="122"/>
      <c r="H72" s="125"/>
      <c r="I72" s="127"/>
      <c r="J72" s="127"/>
      <c r="K72" s="127"/>
      <c r="L72" s="127"/>
      <c r="M72" s="127"/>
      <c r="N72" s="126"/>
      <c r="O72" s="126"/>
      <c r="P72" s="122"/>
    </row>
    <row r="73" spans="1:16" ht="30" customHeight="1">
      <c r="A73" s="122"/>
      <c r="B73" s="132"/>
      <c r="C73" s="122"/>
      <c r="D73" s="122"/>
      <c r="E73" s="122"/>
      <c r="F73" s="122"/>
      <c r="G73" s="122"/>
      <c r="H73" s="125"/>
      <c r="I73" s="127"/>
      <c r="J73" s="127"/>
      <c r="K73" s="127"/>
      <c r="L73" s="127"/>
      <c r="M73" s="127"/>
      <c r="N73" s="126"/>
      <c r="O73" s="126"/>
      <c r="P73" s="122"/>
    </row>
    <row r="74" spans="1:16" ht="30" customHeight="1">
      <c r="A74" s="122"/>
      <c r="B74" s="132"/>
      <c r="C74" s="122"/>
      <c r="D74" s="122"/>
      <c r="E74" s="122"/>
      <c r="F74" s="122"/>
      <c r="G74" s="122"/>
      <c r="H74" s="125"/>
      <c r="I74" s="127"/>
      <c r="J74" s="127"/>
      <c r="K74" s="127"/>
      <c r="L74" s="127"/>
      <c r="M74" s="127"/>
      <c r="N74" s="126"/>
      <c r="O74" s="126"/>
      <c r="P74" s="122"/>
    </row>
    <row r="75" spans="1:16" ht="30" customHeight="1">
      <c r="A75" s="122"/>
      <c r="B75" s="132"/>
      <c r="C75" s="122"/>
      <c r="D75" s="122"/>
      <c r="E75" s="122"/>
      <c r="F75" s="122"/>
      <c r="G75" s="122"/>
      <c r="H75" s="125"/>
      <c r="I75" s="126"/>
      <c r="J75" s="126"/>
      <c r="K75" s="126"/>
      <c r="L75" s="126"/>
      <c r="M75" s="126"/>
      <c r="N75" s="126"/>
      <c r="O75" s="126"/>
      <c r="P75" s="122"/>
    </row>
    <row r="76" spans="1:16" ht="30" customHeight="1" thickBot="1">
      <c r="A76" s="122"/>
      <c r="B76" s="132"/>
      <c r="C76" s="122"/>
      <c r="D76" s="122"/>
      <c r="E76" s="122"/>
      <c r="F76" s="122"/>
      <c r="G76" s="122"/>
      <c r="H76" s="125"/>
      <c r="I76" s="126"/>
      <c r="J76" s="126"/>
      <c r="K76" s="126"/>
      <c r="L76" s="126"/>
      <c r="M76" s="126"/>
      <c r="N76" s="126"/>
      <c r="O76" s="126"/>
      <c r="P76" s="122"/>
    </row>
    <row r="77" spans="1:16" ht="30" customHeight="1">
      <c r="A77" s="383" t="s">
        <v>147</v>
      </c>
      <c r="B77" s="384"/>
      <c r="C77" s="384"/>
      <c r="D77" s="384"/>
      <c r="E77" s="385"/>
      <c r="F77" s="122"/>
      <c r="G77" s="122"/>
      <c r="H77" s="125"/>
      <c r="I77" s="126"/>
      <c r="J77" s="126"/>
      <c r="K77" s="126"/>
      <c r="L77" s="126"/>
      <c r="M77" s="126"/>
      <c r="N77" s="126"/>
      <c r="O77" s="126"/>
      <c r="P77" s="122"/>
    </row>
    <row r="78" spans="1:16" ht="30" customHeight="1">
      <c r="A78" s="130" t="s">
        <v>186</v>
      </c>
      <c r="B78" s="131" t="s">
        <v>151</v>
      </c>
      <c r="C78" s="386" t="s">
        <v>185</v>
      </c>
      <c r="D78" s="387"/>
      <c r="E78" s="388"/>
      <c r="H78" s="17"/>
      <c r="I78" s="17"/>
      <c r="J78" s="17"/>
      <c r="K78" s="17"/>
      <c r="L78" s="17"/>
      <c r="M78" s="17"/>
      <c r="N78" s="17"/>
      <c r="O78" s="17"/>
    </row>
    <row r="79" spans="1:16" ht="18.75" thickBot="1">
      <c r="A79" s="139">
        <f>+'DEVIS AURI'!$F$10</f>
        <v>0</v>
      </c>
      <c r="B79" s="140">
        <f>+'DEVIS AURI'!$B$29</f>
        <v>0</v>
      </c>
      <c r="C79" s="381">
        <f>('DEVIS AURI'!$B$30)-$H$3</f>
        <v>-2.0833333333333332E-2</v>
      </c>
      <c r="D79" s="381"/>
      <c r="E79" s="382"/>
    </row>
    <row r="80" spans="1:16" ht="18.75" thickBot="1">
      <c r="B80" s="132"/>
      <c r="C80" s="122"/>
      <c r="D80" s="122"/>
      <c r="E80" s="122"/>
    </row>
    <row r="81" spans="1:5" ht="26.25" thickTop="1">
      <c r="A81" s="378" t="s">
        <v>41</v>
      </c>
      <c r="B81" s="379"/>
      <c r="C81" s="379"/>
      <c r="D81" s="380"/>
      <c r="E81" s="295">
        <f>SUMIF('DEVIS AURI'!$B$39:$B$56,PREPARATION!A81,'DEVIS AURI'!$C$39:$C$56)</f>
        <v>0</v>
      </c>
    </row>
    <row r="82" spans="1:5" ht="25.5">
      <c r="A82" s="372" t="s">
        <v>49</v>
      </c>
      <c r="B82" s="373"/>
      <c r="C82" s="373"/>
      <c r="D82" s="374"/>
      <c r="E82" s="296">
        <f>SUMIF('DEVIS AURI'!$B$39:$B$56,PREPARATION!A82,'DEVIS AURI'!$C$39:$C$56)</f>
        <v>0</v>
      </c>
    </row>
    <row r="83" spans="1:5" ht="25.5">
      <c r="A83" s="372" t="s">
        <v>64</v>
      </c>
      <c r="B83" s="373"/>
      <c r="C83" s="373"/>
      <c r="D83" s="374"/>
      <c r="E83" s="296">
        <f>SUMIF('DEVIS AURI'!$B$39:$B$56,PREPARATION!A83,'DEVIS AURI'!$C$39:$C$56)</f>
        <v>0</v>
      </c>
    </row>
    <row r="84" spans="1:5" ht="25.5">
      <c r="A84" s="372" t="s">
        <v>65</v>
      </c>
      <c r="B84" s="373"/>
      <c r="C84" s="373"/>
      <c r="D84" s="374"/>
      <c r="E84" s="296">
        <f>SUMIF('DEVIS AURI'!$B$39:$B$56,PREPARATION!A84,'DEVIS AURI'!$C$39:$C$56)</f>
        <v>0</v>
      </c>
    </row>
    <row r="85" spans="1:5" ht="25.5">
      <c r="A85" s="372" t="s">
        <v>66</v>
      </c>
      <c r="B85" s="373"/>
      <c r="C85" s="373"/>
      <c r="D85" s="374"/>
      <c r="E85" s="296">
        <f>SUMIF('DEVIS AURI'!$B$39:$B$56,PREPARATION!A85,'DEVIS AURI'!$C$39:$C$56)</f>
        <v>0</v>
      </c>
    </row>
    <row r="86" spans="1:5" ht="25.5">
      <c r="A86" s="372" t="s">
        <v>63</v>
      </c>
      <c r="B86" s="373"/>
      <c r="C86" s="373"/>
      <c r="D86" s="374"/>
      <c r="E86" s="296">
        <f>SUMIF('DEVIS AURI'!$B$39:$B$56,PREPARATION!A86,'DEVIS AURI'!$C$39:$C$56)</f>
        <v>0</v>
      </c>
    </row>
    <row r="87" spans="1:5" ht="25.5">
      <c r="A87" s="372" t="s">
        <v>67</v>
      </c>
      <c r="B87" s="373"/>
      <c r="C87" s="373"/>
      <c r="D87" s="374"/>
      <c r="E87" s="296">
        <f>SUMIF('DEVIS AURI'!$B$39:$B$56,PREPARATION!A87,'DEVIS AURI'!$C$39:$C$56)</f>
        <v>0</v>
      </c>
    </row>
    <row r="88" spans="1:5" ht="25.5">
      <c r="A88" s="372" t="s">
        <v>68</v>
      </c>
      <c r="B88" s="373"/>
      <c r="C88" s="373"/>
      <c r="D88" s="374"/>
      <c r="E88" s="296">
        <f>SUMIF('DEVIS AURI'!$B$39:$B$56,PREPARATION!A88,'DEVIS AURI'!$C$39:$C$56)</f>
        <v>0</v>
      </c>
    </row>
    <row r="89" spans="1:5" ht="26.25" thickBot="1">
      <c r="A89" s="375" t="s">
        <v>187</v>
      </c>
      <c r="B89" s="376"/>
      <c r="C89" s="376"/>
      <c r="D89" s="377"/>
      <c r="E89" s="297">
        <f>SUMIF('DEVIS AURI'!$B$39:$B$56,PREPARATION!A89,'DEVIS AURI'!$C$39:$C$56)</f>
        <v>0</v>
      </c>
    </row>
    <row r="90" spans="1:5" ht="13.5" thickTop="1"/>
    <row r="91" spans="1:5" ht="13.5" thickBot="1"/>
    <row r="92" spans="1:5" ht="26.25">
      <c r="A92" s="383" t="s">
        <v>149</v>
      </c>
      <c r="B92" s="384"/>
      <c r="C92" s="384"/>
      <c r="D92" s="384"/>
      <c r="E92" s="385"/>
    </row>
    <row r="93" spans="1:5" ht="18">
      <c r="A93" s="130" t="s">
        <v>186</v>
      </c>
      <c r="B93" s="131" t="s">
        <v>151</v>
      </c>
      <c r="C93" s="386" t="s">
        <v>185</v>
      </c>
      <c r="D93" s="387"/>
      <c r="E93" s="388"/>
    </row>
    <row r="94" spans="1:5" ht="18.75" thickBot="1">
      <c r="A94" s="139">
        <f>+'DEVIS AURI'!$F$10</f>
        <v>0</v>
      </c>
      <c r="B94" s="140">
        <f>+'DEVIS AURI'!$B$29</f>
        <v>0</v>
      </c>
      <c r="C94" s="381">
        <f>('DEVIS AURI'!$B$30)-$H$3</f>
        <v>-2.0833333333333332E-2</v>
      </c>
      <c r="D94" s="381"/>
      <c r="E94" s="382"/>
    </row>
    <row r="95" spans="1:5" ht="18.75" thickBot="1">
      <c r="B95" s="290"/>
      <c r="C95" s="122"/>
      <c r="D95" s="122"/>
    </row>
    <row r="96" spans="1:5" ht="26.25" thickTop="1">
      <c r="A96" s="378" t="s">
        <v>150</v>
      </c>
      <c r="B96" s="379"/>
      <c r="C96" s="379"/>
      <c r="D96" s="380"/>
      <c r="E96" s="295">
        <f>SUMIF('DEVIS AURI'!$B$39:$B$56,PREPARATION!A96,'DEVIS AURI'!$C$39:$C$56)</f>
        <v>0</v>
      </c>
    </row>
    <row r="97" spans="1:5" ht="25.5">
      <c r="A97" s="372" t="s">
        <v>38</v>
      </c>
      <c r="B97" s="373"/>
      <c r="C97" s="373"/>
      <c r="D97" s="374"/>
      <c r="E97" s="296">
        <f>SUMIF('DEVIS AURI'!$B$39:$B$56,PREPARATION!A97,'DEVIS AURI'!$C$39:$C$56)</f>
        <v>0</v>
      </c>
    </row>
    <row r="98" spans="1:5" ht="25.5">
      <c r="A98" s="372" t="s">
        <v>55</v>
      </c>
      <c r="B98" s="373"/>
      <c r="C98" s="373"/>
      <c r="D98" s="374"/>
      <c r="E98" s="296">
        <f>SUMIF('DEVIS AURI'!$B$39:$B$56,PREPARATION!A98,'DEVIS AURI'!$C$39:$C$56)</f>
        <v>0</v>
      </c>
    </row>
    <row r="99" spans="1:5" ht="25.5">
      <c r="A99" s="372" t="s">
        <v>56</v>
      </c>
      <c r="B99" s="373"/>
      <c r="C99" s="373"/>
      <c r="D99" s="374"/>
      <c r="E99" s="296">
        <f>SUMIF('DEVIS AURI'!$B$39:$B$56,PREPARATION!A99,'DEVIS AURI'!$C$39:$C$56)</f>
        <v>0</v>
      </c>
    </row>
    <row r="100" spans="1:5" ht="25.5">
      <c r="A100" s="372" t="s">
        <v>170</v>
      </c>
      <c r="B100" s="373"/>
      <c r="C100" s="373"/>
      <c r="D100" s="374"/>
      <c r="E100" s="296">
        <f>SUMIF('DEVIS AURI'!$B$39:$B$56,PREPARATION!A100,'DEVIS AURI'!$C$39:$C$56)</f>
        <v>0</v>
      </c>
    </row>
    <row r="101" spans="1:5" ht="25.5">
      <c r="A101" s="372" t="s">
        <v>175</v>
      </c>
      <c r="B101" s="373"/>
      <c r="C101" s="373"/>
      <c r="D101" s="374"/>
      <c r="E101" s="296">
        <f>SUMIF('DEVIS AURI'!$B$39:$B$56,PREPARATION!A101,'DEVIS AURI'!$C$39:$C$56)</f>
        <v>0</v>
      </c>
    </row>
    <row r="102" spans="1:5" ht="25.5">
      <c r="A102" s="372" t="s">
        <v>88</v>
      </c>
      <c r="B102" s="373"/>
      <c r="C102" s="373"/>
      <c r="D102" s="374"/>
      <c r="E102" s="296">
        <f>SUMIF('DEVIS AURI'!$B$39:$B$56,PREPARATION!A102,'DEVIS AURI'!$C$39:$C$56)</f>
        <v>0</v>
      </c>
    </row>
    <row r="103" spans="1:5" ht="25.5">
      <c r="A103" s="372" t="s">
        <v>89</v>
      </c>
      <c r="B103" s="373"/>
      <c r="C103" s="373"/>
      <c r="D103" s="374"/>
      <c r="E103" s="296">
        <f>SUMIF('DEVIS AURI'!$B$39:$B$56,PREPARATION!A103,'DEVIS AURI'!$C$39:$C$56)</f>
        <v>0</v>
      </c>
    </row>
    <row r="104" spans="1:5" ht="25.5">
      <c r="A104" s="372" t="s">
        <v>184</v>
      </c>
      <c r="B104" s="373"/>
      <c r="C104" s="373"/>
      <c r="D104" s="374"/>
      <c r="E104" s="296">
        <f>SUMIF('DEVIS AURI'!$B$39:$B$56,PREPARATION!A104,'DEVIS AURI'!$C$39:$C$56)</f>
        <v>0</v>
      </c>
    </row>
    <row r="105" spans="1:5" ht="25.5">
      <c r="A105" s="372" t="s">
        <v>90</v>
      </c>
      <c r="B105" s="373"/>
      <c r="C105" s="373"/>
      <c r="D105" s="374"/>
      <c r="E105" s="296">
        <f>SUMIF('DEVIS AURI'!$B$39:$B$56,PREPARATION!A105,'DEVIS AURI'!$C$39:$C$56)</f>
        <v>0</v>
      </c>
    </row>
    <row r="106" spans="1:5" ht="25.5">
      <c r="A106" s="372" t="s">
        <v>58</v>
      </c>
      <c r="B106" s="373"/>
      <c r="C106" s="373"/>
      <c r="D106" s="374"/>
      <c r="E106" s="296">
        <f>SUMIF('DEVIS AURI'!$B$39:$B$56,PREPARATION!A106,'DEVIS AURI'!$C$39:$C$56)</f>
        <v>0</v>
      </c>
    </row>
    <row r="107" spans="1:5" ht="25.5">
      <c r="A107" s="372" t="s">
        <v>69</v>
      </c>
      <c r="B107" s="373"/>
      <c r="C107" s="373"/>
      <c r="D107" s="374"/>
      <c r="E107" s="296">
        <f>SUMIF('DEVIS AURI'!$B$39:$B$56,PREPARATION!A107,'DEVIS AURI'!$C$39:$C$56)</f>
        <v>0</v>
      </c>
    </row>
    <row r="108" spans="1:5" ht="25.5">
      <c r="A108" s="372" t="s">
        <v>169</v>
      </c>
      <c r="B108" s="373"/>
      <c r="C108" s="373"/>
      <c r="D108" s="374"/>
      <c r="E108" s="296">
        <f>SUMIF('DEVIS AURI'!$B$39:$B$56,PREPARATION!A108,'DEVIS AURI'!$C$39:$C$56)</f>
        <v>0</v>
      </c>
    </row>
    <row r="109" spans="1:5" ht="25.5">
      <c r="A109" s="372" t="s">
        <v>101</v>
      </c>
      <c r="B109" s="373"/>
      <c r="C109" s="373"/>
      <c r="D109" s="374"/>
      <c r="E109" s="296">
        <f>SUMIF('DEVIS AURI'!$B$39:$B$56,PREPARATION!A109,'DEVIS AURI'!$C$39:$C$56)</f>
        <v>0</v>
      </c>
    </row>
    <row r="110" spans="1:5" ht="25.5">
      <c r="A110" s="372" t="s">
        <v>102</v>
      </c>
      <c r="B110" s="373"/>
      <c r="C110" s="373"/>
      <c r="D110" s="374"/>
      <c r="E110" s="296">
        <f>SUMIF('DEVIS AURI'!$B$39:$B$56,PREPARATION!A110,'DEVIS AURI'!$C$39:$C$56)</f>
        <v>0</v>
      </c>
    </row>
    <row r="111" spans="1:5" ht="25.5">
      <c r="A111" s="372" t="s">
        <v>103</v>
      </c>
      <c r="B111" s="373"/>
      <c r="C111" s="373"/>
      <c r="D111" s="374"/>
      <c r="E111" s="296">
        <f>SUMIF('DEVIS AURI'!$B$39:$B$56,PREPARATION!A111,'DEVIS AURI'!$C$39:$C$56)</f>
        <v>0</v>
      </c>
    </row>
    <row r="112" spans="1:5" ht="25.5">
      <c r="A112" s="372" t="s">
        <v>106</v>
      </c>
      <c r="B112" s="373"/>
      <c r="C112" s="373"/>
      <c r="D112" s="374"/>
      <c r="E112" s="296">
        <f>SUMIF('DEVIS AURI'!$B$39:$B$56,PREPARATION!A112,'DEVIS AURI'!$C$39:$C$56)</f>
        <v>0</v>
      </c>
    </row>
    <row r="113" spans="1:5" ht="25.5">
      <c r="A113" s="372" t="s">
        <v>105</v>
      </c>
      <c r="B113" s="373"/>
      <c r="C113" s="373"/>
      <c r="D113" s="374"/>
      <c r="E113" s="296">
        <f>SUMIF('DEVIS AURI'!$B$39:$B$56,PREPARATION!A113,'DEVIS AURI'!$C$39:$C$56)</f>
        <v>0</v>
      </c>
    </row>
    <row r="114" spans="1:5" ht="25.5">
      <c r="A114" s="372" t="s">
        <v>104</v>
      </c>
      <c r="B114" s="373"/>
      <c r="C114" s="373"/>
      <c r="D114" s="374"/>
      <c r="E114" s="296">
        <f>SUMIF('DEVIS AURI'!$B$39:$B$56,PREPARATION!A114,'DEVIS AURI'!$C$39:$C$56)</f>
        <v>0</v>
      </c>
    </row>
    <row r="115" spans="1:5" ht="25.5">
      <c r="A115" s="372" t="s">
        <v>14</v>
      </c>
      <c r="B115" s="373"/>
      <c r="C115" s="373"/>
      <c r="D115" s="374"/>
      <c r="E115" s="296">
        <f>SUMIF('DEVIS AURI'!$B$39:$B$56,PREPARATION!A115,'DEVIS AURI'!$C$39:$C$56)</f>
        <v>0</v>
      </c>
    </row>
    <row r="116" spans="1:5" ht="25.5">
      <c r="A116" s="372" t="s">
        <v>74</v>
      </c>
      <c r="B116" s="373"/>
      <c r="C116" s="373"/>
      <c r="D116" s="374"/>
      <c r="E116" s="296">
        <f>SUMIF('DEVIS AURI'!$B$39:$B$56,PREPARATION!A116,'DEVIS AURI'!$C$39:$C$56)</f>
        <v>0</v>
      </c>
    </row>
    <row r="117" spans="1:5" ht="25.5">
      <c r="A117" s="372" t="s">
        <v>212</v>
      </c>
      <c r="B117" s="373"/>
      <c r="C117" s="373"/>
      <c r="D117" s="374"/>
      <c r="E117" s="296">
        <f>SUMIF('DEVIS AURI'!$B$39:$B$56,PREPARATION!A117,'DEVIS AURI'!$C$39:$C$56)</f>
        <v>0</v>
      </c>
    </row>
    <row r="118" spans="1:5" ht="25.5">
      <c r="A118" s="372" t="s">
        <v>213</v>
      </c>
      <c r="B118" s="373"/>
      <c r="C118" s="373"/>
      <c r="D118" s="374"/>
      <c r="E118" s="296">
        <f>SUMIF('DEVIS AURI'!$B$39:$B$56,PREPARATION!A118,'DEVIS AURI'!$C$39:$C$56)</f>
        <v>0</v>
      </c>
    </row>
    <row r="119" spans="1:5" ht="26.25" thickBot="1">
      <c r="A119" s="375" t="s">
        <v>3</v>
      </c>
      <c r="B119" s="376"/>
      <c r="C119" s="376"/>
      <c r="D119" s="377"/>
      <c r="E119" s="297">
        <f>SUMIF('DEVIS AURI'!$B$39:$B$56,PREPARATION!A119,'DEVIS AURI'!$C$39:$C$56)</f>
        <v>0</v>
      </c>
    </row>
    <row r="120" spans="1:5" ht="13.5" thickTop="1"/>
  </sheetData>
  <customSheetViews>
    <customSheetView guid="{242414E6-120C-46C4-A8A3-88F120C813D3}">
      <selection activeCell="C55" sqref="C55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77">
    <mergeCell ref="A77:E77"/>
    <mergeCell ref="C78:E78"/>
    <mergeCell ref="C79:E79"/>
    <mergeCell ref="A92:E92"/>
    <mergeCell ref="C93:E93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42:E42"/>
    <mergeCell ref="C44:E44"/>
    <mergeCell ref="C43:E43"/>
    <mergeCell ref="A2:E2"/>
    <mergeCell ref="C3:E3"/>
    <mergeCell ref="C4:E4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20:D20"/>
    <mergeCell ref="A21:D21"/>
    <mergeCell ref="A22:D22"/>
    <mergeCell ref="A15:D15"/>
    <mergeCell ref="A16:D16"/>
    <mergeCell ref="A17:D17"/>
    <mergeCell ref="A18:D18"/>
    <mergeCell ref="A19:D19"/>
    <mergeCell ref="A58:D58"/>
    <mergeCell ref="A59:D59"/>
    <mergeCell ref="A60:D60"/>
    <mergeCell ref="A46:D46"/>
    <mergeCell ref="A47:D47"/>
    <mergeCell ref="A53:D53"/>
    <mergeCell ref="A54:D54"/>
    <mergeCell ref="A55:D55"/>
    <mergeCell ref="A56:D56"/>
    <mergeCell ref="A57:D57"/>
    <mergeCell ref="A48:D48"/>
    <mergeCell ref="A49:D49"/>
    <mergeCell ref="A50:D50"/>
    <mergeCell ref="A51:D51"/>
    <mergeCell ref="A52:D52"/>
    <mergeCell ref="A96:D96"/>
    <mergeCell ref="C94:E94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8:D118"/>
    <mergeCell ref="A119:D119"/>
    <mergeCell ref="A117:D117"/>
    <mergeCell ref="A112:D112"/>
    <mergeCell ref="A113:D113"/>
    <mergeCell ref="A114:D114"/>
    <mergeCell ref="A115:D115"/>
    <mergeCell ref="A116:D116"/>
  </mergeCells>
  <pageMargins left="0.7" right="0.7" top="0.75" bottom="0.75" header="0.3" footer="0.3"/>
  <pageSetup paperSize="9" scale="64" fitToHeight="4" orientation="portrait" r:id="rId2"/>
  <headerFooter>
    <oddHeader>&amp;C&amp;"Arial,Gras italique"&amp;18FEUILLE DE PREPARATION BANQUET</oddHeader>
  </headerFooter>
  <rowBreaks count="4" manualBreakCount="4">
    <brk id="21" max="16383" man="1"/>
    <brk id="59" max="16383" man="1"/>
    <brk id="87" max="16383" man="1"/>
    <brk id="1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A37" sqref="A37"/>
    </sheetView>
  </sheetViews>
  <sheetFormatPr baseColWidth="10" defaultRowHeight="12.75"/>
  <cols>
    <col min="1" max="1" width="23.140625" customWidth="1"/>
    <col min="2" max="2" width="37.28515625" bestFit="1" customWidth="1"/>
    <col min="3" max="3" width="9.42578125" customWidth="1"/>
    <col min="4" max="4" width="39.7109375" bestFit="1" customWidth="1"/>
  </cols>
  <sheetData>
    <row r="1" spans="1:13">
      <c r="A1" s="403" t="s">
        <v>118</v>
      </c>
      <c r="B1" s="404"/>
      <c r="C1" s="404"/>
      <c r="D1" s="405"/>
    </row>
    <row r="2" spans="1:13" ht="13.5" thickBot="1">
      <c r="A2" s="406"/>
      <c r="B2" s="407"/>
      <c r="C2" s="407"/>
      <c r="D2" s="408"/>
    </row>
    <row r="3" spans="1:13" ht="18.75" thickBot="1">
      <c r="A3" s="34" t="s">
        <v>197</v>
      </c>
      <c r="B3" s="409">
        <f>+'DEVIS AURI'!F10</f>
        <v>0</v>
      </c>
      <c r="C3" s="409"/>
      <c r="D3" s="410"/>
    </row>
    <row r="4" spans="1:13" ht="26.25">
      <c r="A4" s="411"/>
      <c r="B4" s="35" t="s">
        <v>119</v>
      </c>
      <c r="C4" s="414">
        <f>+'DEVIS AURI'!B29</f>
        <v>0</v>
      </c>
      <c r="D4" s="415"/>
    </row>
    <row r="5" spans="1:13" ht="25.5">
      <c r="A5" s="412"/>
      <c r="B5" s="36" t="s">
        <v>120</v>
      </c>
      <c r="C5" s="258">
        <f>+'DEVIS AURI'!B30-M5</f>
        <v>-2.0833333333333332E-2</v>
      </c>
      <c r="D5" s="273"/>
      <c r="M5" s="129">
        <v>2.0833333333333332E-2</v>
      </c>
    </row>
    <row r="6" spans="1:13">
      <c r="A6" s="413"/>
      <c r="B6" s="418" t="s">
        <v>121</v>
      </c>
      <c r="C6" s="420" t="str">
        <f>+'DEVIS AURI'!B31</f>
        <v>Choisir un lieu</v>
      </c>
      <c r="D6" s="421"/>
    </row>
    <row r="7" spans="1:13" ht="11.25" customHeight="1">
      <c r="A7" s="412"/>
      <c r="B7" s="419"/>
      <c r="C7" s="422"/>
      <c r="D7" s="423"/>
    </row>
    <row r="8" spans="1:13" ht="20.25">
      <c r="A8" s="413"/>
      <c r="B8" s="38" t="s">
        <v>122</v>
      </c>
      <c r="C8" s="416" t="str">
        <f>+'DEVIS AURI'!B32</f>
        <v/>
      </c>
      <c r="D8" s="417"/>
    </row>
    <row r="9" spans="1:13" ht="15">
      <c r="A9" s="283"/>
      <c r="B9" s="37"/>
      <c r="C9" s="37"/>
      <c r="D9" s="274"/>
    </row>
    <row r="10" spans="1:13" ht="21" thickBot="1">
      <c r="A10" s="284" t="s">
        <v>123</v>
      </c>
      <c r="B10" s="285">
        <f>+'DEVIS AURI'!B17</f>
        <v>0</v>
      </c>
      <c r="C10" s="286"/>
      <c r="D10" s="287"/>
    </row>
    <row r="11" spans="1:13" ht="15.75" thickBot="1">
      <c r="A11" s="389" t="s">
        <v>124</v>
      </c>
      <c r="B11" s="390"/>
      <c r="C11" s="390"/>
      <c r="D11" s="391"/>
    </row>
    <row r="12" spans="1:13">
      <c r="A12" s="392"/>
      <c r="B12" s="393"/>
      <c r="C12" s="393"/>
      <c r="D12" s="394"/>
    </row>
    <row r="13" spans="1:13">
      <c r="A13" s="395"/>
      <c r="B13" s="396"/>
      <c r="C13" s="396"/>
      <c r="D13" s="397"/>
    </row>
    <row r="14" spans="1:13" ht="13.5" thickBot="1">
      <c r="A14" s="398"/>
      <c r="B14" s="399"/>
      <c r="C14" s="399"/>
      <c r="D14" s="400"/>
    </row>
    <row r="15" spans="1:13" ht="15.75" thickBot="1">
      <c r="A15" s="266" t="s">
        <v>125</v>
      </c>
      <c r="B15" s="267"/>
      <c r="C15" s="389" t="s">
        <v>126</v>
      </c>
      <c r="D15" s="391"/>
    </row>
    <row r="16" spans="1:13" ht="13.5" thickBot="1">
      <c r="A16" s="249"/>
      <c r="B16" s="250"/>
      <c r="C16" s="401"/>
      <c r="D16" s="402"/>
    </row>
    <row r="17" spans="1:4" ht="21" thickBot="1">
      <c r="A17" s="251"/>
      <c r="B17" s="252"/>
      <c r="C17" s="43">
        <f>SUMIF('DEVIS AURI'!$B$39:$B$56,D17,'DEVIS AURI'!$C$39:$C$56)</f>
        <v>0</v>
      </c>
      <c r="D17" s="1" t="s">
        <v>170</v>
      </c>
    </row>
    <row r="18" spans="1:4" ht="20.25">
      <c r="A18" s="251"/>
      <c r="B18" s="252"/>
      <c r="C18" s="239">
        <f>SUMIF('DEVIS AURI'!$B$39:$B$56,D18,'DEVIS AURI'!$C$39:$C$56)</f>
        <v>0</v>
      </c>
      <c r="D18" s="1" t="s">
        <v>175</v>
      </c>
    </row>
    <row r="19" spans="1:4" ht="20.25">
      <c r="A19" s="254"/>
      <c r="B19" s="255"/>
      <c r="C19" s="239">
        <f>SUMIF('DEVIS AURI'!$B$39:$B$56,D19,'DEVIS AURI'!$C$39:$C$56)</f>
        <v>0</v>
      </c>
      <c r="D19" s="275" t="s">
        <v>215</v>
      </c>
    </row>
    <row r="20" spans="1:4" ht="23.25">
      <c r="A20" s="40"/>
      <c r="B20" s="41"/>
      <c r="C20" s="39" t="s">
        <v>198</v>
      </c>
      <c r="D20" s="275" t="s">
        <v>127</v>
      </c>
    </row>
    <row r="21" spans="1:4" ht="20.25">
      <c r="A21" s="245"/>
      <c r="B21" s="246"/>
      <c r="C21" s="39" t="s">
        <v>198</v>
      </c>
      <c r="D21" s="275" t="s">
        <v>128</v>
      </c>
    </row>
    <row r="22" spans="1:4" ht="21" thickBot="1">
      <c r="A22" s="247"/>
      <c r="B22" s="248"/>
      <c r="C22" s="39" t="s">
        <v>198</v>
      </c>
      <c r="D22" s="275" t="s">
        <v>129</v>
      </c>
    </row>
    <row r="23" spans="1:4" ht="26.25" thickBot="1">
      <c r="A23" s="42">
        <f>SUMIF('DEVIS AURI'!$B$39:$B$56,B23,'DEVIS AURI'!$C$39:$C$56)</f>
        <v>0</v>
      </c>
      <c r="B23" s="298" t="s">
        <v>204</v>
      </c>
      <c r="C23" s="39" t="s">
        <v>198</v>
      </c>
      <c r="D23" s="275" t="s">
        <v>130</v>
      </c>
    </row>
    <row r="24" spans="1:4" ht="26.25" thickBot="1">
      <c r="A24" s="42">
        <f>SUMIF('DEVIS AURI'!$B$39:$B$56,B24,'DEVIS AURI'!$C$39:$C$56)</f>
        <v>0</v>
      </c>
      <c r="B24" s="298" t="s">
        <v>202</v>
      </c>
      <c r="C24" s="39" t="s">
        <v>198</v>
      </c>
      <c r="D24" s="275" t="s">
        <v>131</v>
      </c>
    </row>
    <row r="25" spans="1:4" ht="26.25" thickBot="1">
      <c r="A25" s="42">
        <f>SUMIF('DEVIS AURI'!$B$39:$B$56,B25,'DEVIS AURI'!$C$39:$C$56)</f>
        <v>0</v>
      </c>
      <c r="B25" s="298" t="s">
        <v>132</v>
      </c>
      <c r="C25" s="39" t="s">
        <v>198</v>
      </c>
      <c r="D25" s="275" t="s">
        <v>133</v>
      </c>
    </row>
    <row r="26" spans="1:4" ht="26.25" thickBot="1">
      <c r="A26" s="44"/>
      <c r="B26" s="45"/>
      <c r="C26" s="39" t="s">
        <v>198</v>
      </c>
      <c r="D26" s="275" t="s">
        <v>134</v>
      </c>
    </row>
    <row r="27" spans="1:4" ht="20.25">
      <c r="A27" s="249"/>
      <c r="B27" s="250"/>
      <c r="C27" s="39"/>
      <c r="D27" s="275" t="s">
        <v>135</v>
      </c>
    </row>
    <row r="28" spans="1:4" ht="20.25">
      <c r="A28" s="251"/>
      <c r="B28" s="252"/>
      <c r="C28" s="39"/>
      <c r="D28" s="276" t="s">
        <v>136</v>
      </c>
    </row>
    <row r="29" spans="1:4" ht="20.25">
      <c r="A29" s="251"/>
      <c r="B29" s="252"/>
      <c r="C29" s="39"/>
      <c r="D29" s="275" t="s">
        <v>137</v>
      </c>
    </row>
    <row r="30" spans="1:4" ht="21" thickBot="1">
      <c r="A30" s="247"/>
      <c r="B30" s="248"/>
      <c r="C30" s="46">
        <v>1</v>
      </c>
      <c r="D30" s="277" t="s">
        <v>138</v>
      </c>
    </row>
    <row r="31" spans="1:4" ht="15.75" thickBot="1">
      <c r="A31" s="268" t="s">
        <v>139</v>
      </c>
      <c r="B31" s="269"/>
      <c r="C31" s="435" t="s">
        <v>140</v>
      </c>
      <c r="D31" s="436"/>
    </row>
    <row r="32" spans="1:4" ht="6" customHeight="1" thickBot="1">
      <c r="A32" s="47"/>
      <c r="B32" s="253"/>
      <c r="C32" s="437"/>
      <c r="D32" s="438"/>
    </row>
    <row r="33" spans="1:13" ht="20.25">
      <c r="A33" s="33" t="s">
        <v>184</v>
      </c>
      <c r="B33" s="299">
        <f>SUMIF('DEVIS AURI'!$B$39:$B$56,A33,'DEVIS AURI'!$C$39:$C$56)</f>
        <v>0</v>
      </c>
      <c r="C33" s="256"/>
      <c r="D33" s="278"/>
    </row>
    <row r="34" spans="1:13" ht="20.25">
      <c r="A34" s="3" t="s">
        <v>58</v>
      </c>
      <c r="B34" s="300">
        <f>SUMIF('DEVIS AURI'!$B$39:$B$56,A34,'DEVIS AURI'!$C$39:$C$56)</f>
        <v>0</v>
      </c>
      <c r="C34" s="256"/>
      <c r="D34" s="278"/>
    </row>
    <row r="35" spans="1:13" ht="20.25">
      <c r="A35" s="24" t="s">
        <v>69</v>
      </c>
      <c r="B35" s="300">
        <f>SUMIF('DEVIS AURI'!$B$39:$B$56,A35,'DEVIS AURI'!$C$39:$C$56)</f>
        <v>0</v>
      </c>
      <c r="C35" s="244"/>
      <c r="D35" s="279"/>
    </row>
    <row r="36" spans="1:13" ht="21" thickBot="1">
      <c r="A36" s="280" t="s">
        <v>216</v>
      </c>
      <c r="B36" s="301">
        <f>SUMIF('DEVIS AURI'!$B$39:$B$56,A36,'DEVIS AURI'!$C$39:$C$56)</f>
        <v>0</v>
      </c>
      <c r="C36" s="281"/>
      <c r="D36" s="282"/>
    </row>
    <row r="41" spans="1:13" ht="46.5">
      <c r="A41" s="259" t="s">
        <v>199</v>
      </c>
      <c r="B41" s="259"/>
      <c r="C41" s="259"/>
      <c r="D41" s="259"/>
    </row>
    <row r="42" spans="1:13" ht="47.25" thickBot="1">
      <c r="B42" s="262">
        <f>+'DEVIS AURI'!B22</f>
        <v>0</v>
      </c>
      <c r="D42" s="263"/>
      <c r="E42" s="261"/>
    </row>
    <row r="43" spans="1:13" ht="48" thickTop="1" thickBot="1">
      <c r="A43" s="259" t="s">
        <v>200</v>
      </c>
      <c r="C43" s="264">
        <f>+'DEVIS AURI'!B29</f>
        <v>0</v>
      </c>
      <c r="D43" s="265"/>
    </row>
    <row r="44" spans="1:13" ht="48" thickTop="1" thickBot="1">
      <c r="A44" s="259"/>
      <c r="C44" s="259"/>
      <c r="D44" s="259"/>
    </row>
    <row r="45" spans="1:13" ht="63" thickTop="1" thickBot="1">
      <c r="A45" s="259" t="s">
        <v>201</v>
      </c>
      <c r="C45" s="424">
        <f>+'DEVIS AURI'!B30-M45</f>
        <v>-3.125E-2</v>
      </c>
      <c r="D45" s="425"/>
      <c r="M45" s="129">
        <v>3.125E-2</v>
      </c>
    </row>
    <row r="46" spans="1:13" ht="47.25" thickTop="1">
      <c r="A46" s="259"/>
      <c r="B46" s="259"/>
      <c r="C46" s="259"/>
      <c r="D46" s="259"/>
    </row>
    <row r="47" spans="1:13" ht="47.25" thickBot="1">
      <c r="A47" s="259"/>
      <c r="B47" s="259"/>
      <c r="D47" s="259"/>
    </row>
    <row r="48" spans="1:13" ht="34.5" thickTop="1">
      <c r="A48" s="426" t="s">
        <v>202</v>
      </c>
      <c r="B48" s="427"/>
      <c r="C48" s="428"/>
      <c r="D48" s="270">
        <f>+A24</f>
        <v>0</v>
      </c>
    </row>
    <row r="49" spans="1:4" ht="33.75">
      <c r="A49" s="429" t="s">
        <v>204</v>
      </c>
      <c r="B49" s="430"/>
      <c r="C49" s="431"/>
      <c r="D49" s="271">
        <f>+A23</f>
        <v>0</v>
      </c>
    </row>
    <row r="50" spans="1:4" ht="34.5" thickBot="1">
      <c r="A50" s="432" t="s">
        <v>132</v>
      </c>
      <c r="B50" s="433"/>
      <c r="C50" s="434"/>
      <c r="D50" s="272">
        <f>+A25</f>
        <v>0</v>
      </c>
    </row>
    <row r="51" spans="1:4" ht="47.25" thickTop="1">
      <c r="A51" s="259"/>
      <c r="B51" s="259"/>
      <c r="C51" s="259"/>
      <c r="D51" s="259"/>
    </row>
    <row r="52" spans="1:4" ht="46.5">
      <c r="A52" s="259"/>
      <c r="B52" s="259"/>
      <c r="C52" s="259"/>
      <c r="D52" s="259"/>
    </row>
    <row r="53" spans="1:4" ht="92.25">
      <c r="A53" s="260" t="s">
        <v>203</v>
      </c>
      <c r="B53" s="259"/>
      <c r="C53" s="259"/>
    </row>
  </sheetData>
  <mergeCells count="18">
    <mergeCell ref="C45:D45"/>
    <mergeCell ref="A48:C48"/>
    <mergeCell ref="A49:C49"/>
    <mergeCell ref="A50:C50"/>
    <mergeCell ref="C31:D31"/>
    <mergeCell ref="C32:D32"/>
    <mergeCell ref="A11:D11"/>
    <mergeCell ref="A12:D14"/>
    <mergeCell ref="C15:D15"/>
    <mergeCell ref="C16:D16"/>
    <mergeCell ref="A1:D2"/>
    <mergeCell ref="B3:D3"/>
    <mergeCell ref="A4:A6"/>
    <mergeCell ref="C4:D4"/>
    <mergeCell ref="A7:A8"/>
    <mergeCell ref="C8:D8"/>
    <mergeCell ref="B6:B7"/>
    <mergeCell ref="C6:D7"/>
  </mergeCells>
  <pageMargins left="0.25" right="0.25" top="0.75" bottom="0.75" header="0.3" footer="0.3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20</vt:i4>
      </vt:variant>
    </vt:vector>
  </HeadingPairs>
  <TitlesOfParts>
    <vt:vector size="26" baseType="lpstr">
      <vt:lpstr>Calcul_A_emporter</vt:lpstr>
      <vt:lpstr>DEVIS AURI</vt:lpstr>
      <vt:lpstr>FACTURE AURI</vt:lpstr>
      <vt:lpstr>PREPARATION</vt:lpstr>
      <vt:lpstr>Feuil1</vt:lpstr>
      <vt:lpstr>pdj</vt:lpstr>
      <vt:lpstr>charge</vt:lpstr>
      <vt:lpstr>Cocktail_Petit_Déjeuner_au_détail</vt:lpstr>
      <vt:lpstr>lieux</vt:lpstr>
      <vt:lpstr>Livraison_et_Personnel_TVA_20</vt:lpstr>
      <vt:lpstr>livraisonPersonnel</vt:lpstr>
      <vt:lpstr>Location_de_salle_AURI_TVA_à_20</vt:lpstr>
      <vt:lpstr>Matériel_TVA_20</vt:lpstr>
      <vt:lpstr>options</vt:lpstr>
      <vt:lpstr>Pizzas_et_Quiches</vt:lpstr>
      <vt:lpstr>Règlement</vt:lpstr>
      <vt:lpstr>Repas_au_self</vt:lpstr>
      <vt:lpstr>Sandwich</vt:lpstr>
      <vt:lpstr>tarif</vt:lpstr>
      <vt:lpstr>Thermos_de_café_avec_matériel__20_personnes</vt:lpstr>
      <vt:lpstr>Ticket_Repas_1__Entrée__Plat__Dessert</vt:lpstr>
      <vt:lpstr>Type_de_client</vt:lpstr>
      <vt:lpstr>'DEVIS AURI'!Zone_d_impression</vt:lpstr>
      <vt:lpstr>'FACTURE AURI'!Zone_d_impression</vt:lpstr>
      <vt:lpstr>pdj!Zone_d_impression</vt:lpstr>
      <vt:lpstr>PREPARATION!Zone_d_impression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2017-09-12T12:10:40Z</cp:lastPrinted>
  <dcterms:created xsi:type="dcterms:W3CDTF">2009-05-14T12:05:37Z</dcterms:created>
  <dcterms:modified xsi:type="dcterms:W3CDTF">2017-09-15T11:16:58Z</dcterms:modified>
</cp:coreProperties>
</file>