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0" windowWidth="19320" windowHeight="10785" tabRatio="836" firstSheet="1" activeTab="1"/>
  </bookViews>
  <sheets>
    <sheet name="Calcul_A_emporter" sheetId="3" state="hidden" r:id="rId1"/>
    <sheet name="DEVIS AURI" sheetId="7" r:id="rId2"/>
    <sheet name="FACTURE AURI" sheetId="12" r:id="rId3"/>
    <sheet name="PREPARATION" sheetId="10" state="hidden" r:id="rId4"/>
    <sheet name="Feuil2" sheetId="11" state="hidden" r:id="rId5"/>
    <sheet name="Feuil1" sheetId="14" state="hidden" r:id="rId6"/>
  </sheets>
  <externalReferences>
    <externalReference r:id="rId7"/>
  </externalReferences>
  <definedNames>
    <definedName name="charge">Calcul_A_emporter!$G$42:$G$45</definedName>
    <definedName name="Cocktail_Petit_Déjeuner_au_détail">Calcul_A_emporter!$D$2:$D$20</definedName>
    <definedName name="lieux">Calcul_A_emporter!$G$24:$G$39</definedName>
    <definedName name="Livraison_et_Personnel_TVA_20">Calcul_A_emporter!$M$20:$M$26</definedName>
    <definedName name="livraisonPersonnel">Calcul_A_emporter!$M$19</definedName>
    <definedName name="Location_de_salle_AURI_TVA_à_20">Calcul_A_emporter!$L$20:$L$24</definedName>
    <definedName name="Matériel_TVA_20">Calcul_A_emporter!$J$2:$J$5</definedName>
    <definedName name="options">Calcul_A_emporter!$A:$A</definedName>
    <definedName name="Pizzas_et_Quiches">Calcul_A_emporter!$F$2:$F$14</definedName>
    <definedName name="prestations">OFFSET(Calcul_A_emporter!$A$1,,,,COUNTA(Calcul_A_emporter!$C$1:$AF$1))</definedName>
    <definedName name="prestations_sur_place">OFFSET(#REF!,,,,COUNTA(#REF!))</definedName>
    <definedName name="Règlement">Calcul_A_emporter!$G$47:$G$52</definedName>
    <definedName name="Repas_au_self">Calcul_A_emporter!$B$3:$B$4</definedName>
    <definedName name="Sandwich">Calcul_A_emporter!$E$2:$E$8</definedName>
    <definedName name="tarif">Calcul_A_emporter!$Q$1:$U$74</definedName>
    <definedName name="Type_de_client">Calcul_A_emporter!$O$14:$O$16</definedName>
    <definedName name="Z_242414E6_120C_46C4_A8A3_88F120C813D3_.wvu.PrintArea" localSheetId="0" hidden="1">Calcul_A_emporter!$Q$1:$U$74</definedName>
    <definedName name="Z_242414E6_120C_46C4_A8A3_88F120C813D3_.wvu.PrintArea" localSheetId="1" hidden="1">'DEVIS AURI'!$A$1:$J$76</definedName>
    <definedName name="Z_242414E6_120C_46C4_A8A3_88F120C813D3_.wvu.PrintArea" localSheetId="2" hidden="1">'FACTURE AURI'!$A$13:$G$76</definedName>
    <definedName name="_xlnm.Print_Area" localSheetId="1">'DEVIS AURI'!$A$1:$G$80</definedName>
    <definedName name="_xlnm.Print_Area" localSheetId="2">'FACTURE AURI'!$A$1:$G$74</definedName>
  </definedNames>
  <calcPr calcId="145621"/>
  <customWorkbookViews>
    <customWorkbookView name="devis" guid="{242414E6-120C-46C4-A8A3-88F120C813D3}" maximized="1" windowWidth="1596" windowHeight="674" tabRatio="836" activeSheetId="7"/>
  </customWorkbookViews>
</workbook>
</file>

<file path=xl/calcChain.xml><?xml version="1.0" encoding="utf-8"?>
<calcChain xmlns="http://schemas.openxmlformats.org/spreadsheetml/2006/main">
  <c r="E43" i="7" l="1"/>
  <c r="B25" i="12"/>
  <c r="B27" i="12" l="1"/>
  <c r="B26" i="12"/>
  <c r="E42" i="7"/>
  <c r="A26" i="12"/>
  <c r="A22" i="12"/>
  <c r="B22" i="12"/>
  <c r="A23" i="12"/>
  <c r="B23" i="12"/>
  <c r="A24" i="12"/>
  <c r="B24" i="12"/>
  <c r="B21" i="12"/>
  <c r="A21" i="12"/>
  <c r="B13" i="12"/>
  <c r="B14" i="12"/>
  <c r="B15" i="12"/>
  <c r="B16" i="12"/>
  <c r="B17" i="12"/>
  <c r="B18" i="12"/>
  <c r="B19" i="12"/>
  <c r="B12" i="12"/>
  <c r="A19" i="12"/>
  <c r="A17" i="12"/>
  <c r="A18" i="12"/>
  <c r="A14" i="12"/>
  <c r="A15" i="12"/>
  <c r="A16" i="12"/>
  <c r="A13" i="12"/>
  <c r="C15" i="7"/>
  <c r="C16" i="7" s="1"/>
  <c r="C26" i="7"/>
  <c r="A27" i="12" s="1"/>
  <c r="A37" i="12"/>
  <c r="B34" i="12"/>
  <c r="D10" i="12"/>
  <c r="U6" i="3"/>
  <c r="U7" i="3"/>
  <c r="U8" i="3"/>
  <c r="F13" i="12" l="1"/>
  <c r="D13" i="12"/>
  <c r="D12" i="12"/>
  <c r="D11" i="12"/>
  <c r="B44" i="12"/>
  <c r="A45" i="12"/>
  <c r="B45" i="12"/>
  <c r="F45" i="12"/>
  <c r="G45" i="12"/>
  <c r="A46" i="12"/>
  <c r="B46" i="12"/>
  <c r="F46" i="12"/>
  <c r="G46" i="12"/>
  <c r="A47" i="12"/>
  <c r="B47" i="12"/>
  <c r="F47" i="12"/>
  <c r="G47" i="12"/>
  <c r="A48" i="12"/>
  <c r="B48" i="12"/>
  <c r="F48" i="12"/>
  <c r="G48" i="12"/>
  <c r="A49" i="12"/>
  <c r="B49" i="12"/>
  <c r="F49" i="12"/>
  <c r="G49" i="12"/>
  <c r="A50" i="12"/>
  <c r="B50" i="12"/>
  <c r="F50" i="12"/>
  <c r="G50" i="12"/>
  <c r="A51" i="12"/>
  <c r="B51" i="12"/>
  <c r="F51" i="12"/>
  <c r="G51" i="12"/>
  <c r="A52" i="12"/>
  <c r="B52" i="12"/>
  <c r="F52" i="12"/>
  <c r="G52" i="12"/>
  <c r="A53" i="12"/>
  <c r="B53" i="12"/>
  <c r="C53" i="12"/>
  <c r="D53" i="12"/>
  <c r="F53" i="12"/>
  <c r="G53" i="12"/>
  <c r="A54" i="12"/>
  <c r="B54" i="12"/>
  <c r="C54" i="12"/>
  <c r="D54" i="12"/>
  <c r="F54" i="12"/>
  <c r="G54" i="12"/>
  <c r="A55" i="12"/>
  <c r="B55" i="12"/>
  <c r="C55" i="12"/>
  <c r="D55" i="12"/>
  <c r="F55" i="12"/>
  <c r="G55" i="12"/>
  <c r="A56" i="12"/>
  <c r="B56" i="12"/>
  <c r="A57" i="12"/>
  <c r="B57" i="12"/>
  <c r="A58" i="12"/>
  <c r="B58" i="12"/>
  <c r="A59" i="12"/>
  <c r="B59" i="12"/>
  <c r="A60" i="12"/>
  <c r="B60" i="12"/>
  <c r="B43" i="12"/>
  <c r="E43" i="12"/>
  <c r="B31" i="12"/>
  <c r="B32" i="12"/>
  <c r="B30" i="12"/>
  <c r="C44" i="7"/>
  <c r="C45" i="12" s="1"/>
  <c r="D23" i="12"/>
  <c r="B5" i="12" l="1"/>
  <c r="B4" i="12"/>
  <c r="D44" i="7"/>
  <c r="D45" i="12" s="1"/>
  <c r="E44" i="7"/>
  <c r="E45" i="12" s="1"/>
  <c r="E44" i="12"/>
  <c r="E45" i="7"/>
  <c r="E46" i="12" s="1"/>
  <c r="E46" i="7"/>
  <c r="E47" i="12" s="1"/>
  <c r="E47" i="7"/>
  <c r="E48" i="12" s="1"/>
  <c r="E48" i="7"/>
  <c r="E49" i="12" s="1"/>
  <c r="E49" i="7"/>
  <c r="E50" i="12" s="1"/>
  <c r="E50" i="7"/>
  <c r="E51" i="12" s="1"/>
  <c r="E51" i="7"/>
  <c r="E52" i="12" s="1"/>
  <c r="E52" i="7"/>
  <c r="E53" i="12" s="1"/>
  <c r="E53" i="7"/>
  <c r="E54" i="12" s="1"/>
  <c r="E54" i="7"/>
  <c r="E55" i="12" s="1"/>
  <c r="E55" i="7"/>
  <c r="E56" i="12" s="1"/>
  <c r="E56" i="7"/>
  <c r="E57" i="12" s="1"/>
  <c r="E57" i="7"/>
  <c r="E58" i="12" s="1"/>
  <c r="E58" i="7"/>
  <c r="E59" i="12" s="1"/>
  <c r="E59" i="7"/>
  <c r="E60" i="12" s="1"/>
  <c r="A32" i="7"/>
  <c r="B32" i="7"/>
  <c r="B33" i="12" s="1"/>
  <c r="A42" i="7"/>
  <c r="A43" i="12" s="1"/>
  <c r="D46" i="7"/>
  <c r="D47" i="12" s="1"/>
  <c r="D47" i="7"/>
  <c r="D48" i="12" s="1"/>
  <c r="D48" i="7"/>
  <c r="D49" i="12" s="1"/>
  <c r="D49" i="7"/>
  <c r="D50" i="12" s="1"/>
  <c r="D50" i="7"/>
  <c r="D51" i="12" s="1"/>
  <c r="D51" i="7"/>
  <c r="D52" i="12" s="1"/>
  <c r="D45" i="7"/>
  <c r="D46" i="12" s="1"/>
  <c r="B11" i="12"/>
  <c r="C45" i="7"/>
  <c r="C46" i="12" s="1"/>
  <c r="C46" i="7"/>
  <c r="C47" i="12" s="1"/>
  <c r="C47" i="7"/>
  <c r="C48" i="12" s="1"/>
  <c r="C48" i="7"/>
  <c r="C49" i="12" s="1"/>
  <c r="C49" i="7"/>
  <c r="C50" i="12" s="1"/>
  <c r="C50" i="7"/>
  <c r="C51" i="12" s="1"/>
  <c r="C51" i="7"/>
  <c r="C52" i="12" s="1"/>
  <c r="A33" i="7"/>
  <c r="A34" i="12" s="1"/>
  <c r="J29" i="10"/>
  <c r="I29" i="10"/>
  <c r="J8" i="10"/>
  <c r="I8" i="10"/>
  <c r="C29" i="10"/>
  <c r="B29" i="10"/>
  <c r="C8" i="10"/>
  <c r="B8" i="10"/>
  <c r="F42" i="7"/>
  <c r="F43" i="12" s="1"/>
  <c r="G55" i="7"/>
  <c r="G56" i="12" s="1"/>
  <c r="F57" i="7"/>
  <c r="F58" i="12" s="1"/>
  <c r="G59" i="7"/>
  <c r="G60" i="12" s="1"/>
  <c r="D43" i="7"/>
  <c r="D44" i="12" s="1"/>
  <c r="D55" i="7"/>
  <c r="D56" i="12" s="1"/>
  <c r="D56" i="7"/>
  <c r="D57" i="12" s="1"/>
  <c r="D57" i="7"/>
  <c r="D58" i="12" s="1"/>
  <c r="D58" i="7"/>
  <c r="D59" i="12" s="1"/>
  <c r="D59" i="7"/>
  <c r="D60" i="12" s="1"/>
  <c r="D42" i="7"/>
  <c r="D43" i="12" s="1"/>
  <c r="C43" i="7"/>
  <c r="C44" i="12" s="1"/>
  <c r="C55" i="7"/>
  <c r="C56" i="12" s="1"/>
  <c r="C56" i="7"/>
  <c r="C57" i="12" s="1"/>
  <c r="C57" i="7"/>
  <c r="C58" i="12" s="1"/>
  <c r="C58" i="7"/>
  <c r="C59" i="12" s="1"/>
  <c r="C59" i="7"/>
  <c r="C60" i="12" s="1"/>
  <c r="C42" i="7"/>
  <c r="C43" i="12" s="1"/>
  <c r="I11" i="10"/>
  <c r="I12" i="10"/>
  <c r="I13" i="10"/>
  <c r="I14" i="10"/>
  <c r="I15" i="10"/>
  <c r="I16" i="10"/>
  <c r="I17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10" i="10"/>
  <c r="B11" i="10"/>
  <c r="B12" i="10"/>
  <c r="B13" i="10"/>
  <c r="B14" i="10"/>
  <c r="B15" i="10"/>
  <c r="B19" i="10"/>
  <c r="B20" i="10"/>
  <c r="B21" i="10"/>
  <c r="B22" i="10"/>
  <c r="B23" i="10"/>
  <c r="B24" i="10"/>
  <c r="B25" i="10"/>
  <c r="B26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8" i="10" s="1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O52" i="10"/>
  <c r="R52" i="10"/>
  <c r="O51" i="10"/>
  <c r="R51" i="10"/>
  <c r="O50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O6" i="10"/>
  <c r="R6" i="10"/>
  <c r="O5" i="10"/>
  <c r="R5" i="10"/>
  <c r="R4" i="10"/>
  <c r="R3" i="10"/>
  <c r="U12" i="3"/>
  <c r="U11" i="3"/>
  <c r="U10" i="3"/>
  <c r="A43" i="7"/>
  <c r="A44" i="12" s="1"/>
  <c r="C4" i="11"/>
  <c r="U68" i="3"/>
  <c r="U69" i="3"/>
  <c r="U70" i="3"/>
  <c r="U53" i="3"/>
  <c r="U52" i="3"/>
  <c r="U51" i="3"/>
  <c r="U50" i="3"/>
  <c r="U49" i="3"/>
  <c r="U48" i="3"/>
  <c r="U47" i="3"/>
  <c r="U46" i="3"/>
  <c r="U45" i="3"/>
  <c r="U44" i="3"/>
  <c r="U43" i="3"/>
  <c r="U42" i="3"/>
  <c r="U18" i="3"/>
  <c r="U19" i="3"/>
  <c r="U20" i="3"/>
  <c r="U21" i="3"/>
  <c r="U22" i="3"/>
  <c r="U23" i="3"/>
  <c r="U24" i="3"/>
  <c r="R61" i="3"/>
  <c r="U61" i="3" s="1"/>
  <c r="R60" i="3"/>
  <c r="U60" i="3" s="1"/>
  <c r="R59" i="3"/>
  <c r="U74" i="3"/>
  <c r="R16" i="3"/>
  <c r="U16" i="3" s="1"/>
  <c r="R15" i="3"/>
  <c r="U15" i="3" s="1"/>
  <c r="U3" i="3"/>
  <c r="U4" i="3"/>
  <c r="U5" i="3"/>
  <c r="U13" i="3"/>
  <c r="U14" i="3"/>
  <c r="U17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54" i="3"/>
  <c r="U55" i="3"/>
  <c r="U56" i="3"/>
  <c r="U57" i="3"/>
  <c r="U58" i="3"/>
  <c r="U59" i="3"/>
  <c r="U62" i="3"/>
  <c r="U63" i="3"/>
  <c r="U64" i="3"/>
  <c r="U65" i="3"/>
  <c r="U66" i="3"/>
  <c r="U67" i="3"/>
  <c r="U71" i="3"/>
  <c r="U72" i="3"/>
  <c r="U73" i="3"/>
  <c r="U2" i="3"/>
  <c r="F55" i="7"/>
  <c r="F56" i="12" s="1"/>
  <c r="F56" i="7"/>
  <c r="F57" i="12" s="1"/>
  <c r="G57" i="7"/>
  <c r="G58" i="12" s="1"/>
  <c r="G58" i="7"/>
  <c r="G59" i="12" s="1"/>
  <c r="F58" i="7" l="1"/>
  <c r="F59" i="12" s="1"/>
  <c r="G56" i="7"/>
  <c r="G57" i="12" s="1"/>
  <c r="F43" i="7"/>
  <c r="F44" i="12" s="1"/>
  <c r="B63" i="12" s="1"/>
  <c r="C63" i="12" s="1"/>
  <c r="D63" i="12" s="1"/>
  <c r="G42" i="7"/>
  <c r="G43" i="12" s="1"/>
  <c r="F59" i="7"/>
  <c r="F60" i="12" s="1"/>
  <c r="G43" i="7"/>
  <c r="G44" i="12" s="1"/>
  <c r="B62" i="12"/>
  <c r="C62" i="12" s="1"/>
  <c r="D62" i="12" s="1"/>
  <c r="B61" i="7"/>
  <c r="B16" i="10"/>
  <c r="B17" i="10"/>
  <c r="C61" i="7" l="1"/>
  <c r="D61" i="7"/>
  <c r="B62" i="7"/>
  <c r="F62" i="12"/>
  <c r="C62" i="7" l="1"/>
  <c r="D62" i="7"/>
  <c r="F61" i="7"/>
</calcChain>
</file>

<file path=xl/comments1.xml><?xml version="1.0" encoding="utf-8"?>
<comments xmlns="http://schemas.openxmlformats.org/spreadsheetml/2006/main">
  <authors>
    <author>Utilisateur Windows</author>
    <author>dominique.bumat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Veuiller choisir le type de client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Veuiller choisir le mode de réglement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Veuiller séléctionner le lieu de votre manifestation
</t>
        </r>
      </text>
    </comment>
    <comment ref="A42" authorId="1">
      <text>
        <r>
          <rPr>
            <sz val="10"/>
            <color indexed="81"/>
            <rFont val="Tahoma"/>
            <family val="2"/>
          </rPr>
          <t>Cliquer sur la cellule pour voir apparaître le menu déroulant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2" authorId="1">
      <text>
        <r>
          <rPr>
            <sz val="10"/>
            <color indexed="81"/>
            <rFont val="Tahoma"/>
            <family val="2"/>
          </rPr>
          <t xml:space="preserve">Cliquer sur la cellule pour voir apparaître le menu déroulant
</t>
        </r>
      </text>
    </comment>
    <comment ref="E42" authorId="1">
      <text>
        <r>
          <rPr>
            <sz val="10"/>
            <color indexed="81"/>
            <rFont val="Tahoma"/>
            <family val="2"/>
          </rPr>
          <t xml:space="preserve">renseigner le nombre de prestations commandées
</t>
        </r>
      </text>
    </comment>
  </commentList>
</comments>
</file>

<file path=xl/sharedStrings.xml><?xml version="1.0" encoding="utf-8"?>
<sst xmlns="http://schemas.openxmlformats.org/spreadsheetml/2006/main" count="440" uniqueCount="215">
  <si>
    <t>Quantité</t>
  </si>
  <si>
    <t>Gamme</t>
  </si>
  <si>
    <t>Prix Unitaire HT</t>
  </si>
  <si>
    <t>Serviettes (paquet de 100)</t>
  </si>
  <si>
    <t>Prix Total HT</t>
  </si>
  <si>
    <t>Lieux</t>
  </si>
  <si>
    <t>Coordonnées du service commanditaire</t>
  </si>
  <si>
    <t>Prise en charge</t>
  </si>
  <si>
    <t>Prise en charge…</t>
  </si>
  <si>
    <t>par le service</t>
  </si>
  <si>
    <t>personnelle</t>
  </si>
  <si>
    <t>Prix Total TTC</t>
  </si>
  <si>
    <t>VOTRE COMMANDE</t>
  </si>
  <si>
    <t>par un organisme extérieur</t>
  </si>
  <si>
    <t>Droit de bouchon</t>
  </si>
  <si>
    <t>Chèque</t>
  </si>
  <si>
    <t>Espèces</t>
  </si>
  <si>
    <t>Carte bleue</t>
  </si>
  <si>
    <t>Virement régie</t>
  </si>
  <si>
    <t>Virement chorus</t>
  </si>
  <si>
    <t>Lieu de retrait :</t>
  </si>
  <si>
    <t>Mode de règlement</t>
  </si>
  <si>
    <t>Boissons alcoolisées TVA 20%</t>
  </si>
  <si>
    <t>Matériel TVA 20%</t>
  </si>
  <si>
    <t>Hall Barbet de Jouy</t>
  </si>
  <si>
    <t>Restaurant Club AURI</t>
  </si>
  <si>
    <t>Salle premier niveau Cantine</t>
  </si>
  <si>
    <t>Salle rez de jardin Cantine</t>
  </si>
  <si>
    <t>Hall Gambetta</t>
  </si>
  <si>
    <t>Salle Trémoille</t>
  </si>
  <si>
    <t>Salle Sicomore</t>
  </si>
  <si>
    <t>Salle de Ball</t>
  </si>
  <si>
    <t>Salle Epicéa</t>
  </si>
  <si>
    <t>Salle Acacia</t>
  </si>
  <si>
    <t>Salle 050 BDJ</t>
  </si>
  <si>
    <t>Salle 374 BDJ</t>
  </si>
  <si>
    <t>Salle Sully*</t>
  </si>
  <si>
    <t>Forfait livraison simple</t>
  </si>
  <si>
    <t>Forfait livraison, installation  et reprise</t>
  </si>
  <si>
    <t>Personnel (mise en place, service et reprise) avant 17h</t>
  </si>
  <si>
    <t>Personnel (mise en place, service et reprise) après 17h</t>
  </si>
  <si>
    <t>A emporter</t>
  </si>
  <si>
    <t>Petit Déjeuner Complet (boisson chaude, jus, viennoisserie)</t>
  </si>
  <si>
    <t>Pause Café (boisson chaude, jus, eau)</t>
  </si>
  <si>
    <t>Cocktail/Petit Déjeuner au détail</t>
  </si>
  <si>
    <t>Assortiment de Canapés salés (48 piéces)</t>
  </si>
  <si>
    <t>Assortiment de Mignardises (56 piéces)</t>
  </si>
  <si>
    <t>Assortiment de mini viennoisseries</t>
  </si>
  <si>
    <t>Brioche (6 parts)</t>
  </si>
  <si>
    <t>Brownie (12 parts)</t>
  </si>
  <si>
    <t>Cake (12 parts)</t>
  </si>
  <si>
    <t>Cannelés</t>
  </si>
  <si>
    <t>Corbeille de Fruits</t>
  </si>
  <si>
    <t>Pain Surprise (50 sandwichs)</t>
  </si>
  <si>
    <t>Pâtisserie (part individuelle)</t>
  </si>
  <si>
    <t>Salade de fruits</t>
  </si>
  <si>
    <t>Tarte aux fruits de saison (10/12 parts)</t>
  </si>
  <si>
    <t>Tarte aux fruits de saison (6/8 parts)</t>
  </si>
  <si>
    <t>Boissons chaudes</t>
  </si>
  <si>
    <t>Thermos de café avec matériel</t>
  </si>
  <si>
    <t>Thermos de thé avec matériel</t>
  </si>
  <si>
    <t>Boissons Fraiches</t>
  </si>
  <si>
    <t>Jus de pamplemouse 1l</t>
  </si>
  <si>
    <t>ChampagneDevaux Brut</t>
  </si>
  <si>
    <t>Cidre</t>
  </si>
  <si>
    <t>Crémant de Loire</t>
  </si>
  <si>
    <t>Sandwich</t>
  </si>
  <si>
    <t>Sandwich Végétarien</t>
  </si>
  <si>
    <t>Sandwich Jambon Beurre</t>
  </si>
  <si>
    <t>Sandwich Jambon Emmental</t>
  </si>
  <si>
    <t>Sandwich Poulet</t>
  </si>
  <si>
    <t>Sandwich Thon</t>
  </si>
  <si>
    <t>Sandwich Saumon</t>
  </si>
  <si>
    <t>Jus d'orange 1l</t>
  </si>
  <si>
    <t>Pizzas et Quiches</t>
  </si>
  <si>
    <t>Pizza Ronde (1 personne)</t>
  </si>
  <si>
    <t>Pizza Carrée (1 part)</t>
  </si>
  <si>
    <t>Pizza Plaque (6 parts)</t>
  </si>
  <si>
    <t>Forfait Vaisselle Jetable (assiette, gobelet, serviette, couverts)</t>
  </si>
  <si>
    <t>Verre cristal jetable (part 100)</t>
  </si>
  <si>
    <t>HT</t>
  </si>
  <si>
    <t>TAUX TVA</t>
  </si>
  <si>
    <t>TTC</t>
  </si>
  <si>
    <t>Corbeille de fruits (10 personnes)</t>
  </si>
  <si>
    <t>Lait</t>
  </si>
  <si>
    <t>Livraison et Personnel TVA 20 %</t>
  </si>
  <si>
    <t>Prestations commandées</t>
  </si>
  <si>
    <t>Autre Lieu</t>
  </si>
  <si>
    <t xml:space="preserve"> TVA</t>
  </si>
  <si>
    <t xml:space="preserve"> (1) 10%</t>
  </si>
  <si>
    <t>(2) 20%</t>
  </si>
  <si>
    <t>code tva</t>
  </si>
  <si>
    <t>Eau de source 0,5 l (24 pièces)</t>
  </si>
  <si>
    <t>Eau de source 1,5 l (6 pièces)</t>
  </si>
  <si>
    <t>Eau pétillante 1 l (6 pièces)</t>
  </si>
  <si>
    <t>Quiche loraine (8 parts)</t>
  </si>
  <si>
    <t>Quiche tomate chèvre (8 parts)</t>
  </si>
  <si>
    <t>Quiche Poulet (8 parts)</t>
  </si>
  <si>
    <t>Pizza Ronde  3 Fromages (1 part)</t>
  </si>
  <si>
    <t>Pizza Ronde  Poulet (1 part)</t>
  </si>
  <si>
    <t>Pizza Ronde  Végétarienne (1 part)</t>
  </si>
  <si>
    <t>Pizza Carrée 3 Fromages (1 part)</t>
  </si>
  <si>
    <t>Pizza Plaque 3 Fromages (6 parts)</t>
  </si>
  <si>
    <t>Pizza Plaque Poulet (6 parts)</t>
  </si>
  <si>
    <t>Pizza Plaque Végétarienne (6 parts)</t>
  </si>
  <si>
    <t>ChampagneDevaux Brut 75cl</t>
  </si>
  <si>
    <t>Cidre 75cl</t>
  </si>
  <si>
    <t>Crémant de Loire 75cl</t>
  </si>
  <si>
    <t>Vin Rosé (75 cl)</t>
  </si>
  <si>
    <t>Vin Blanc (75 cl)</t>
  </si>
  <si>
    <t>Vin rouge (75 cl)</t>
  </si>
  <si>
    <t>Mini-macarons</t>
  </si>
  <si>
    <t>Pain au chocolat</t>
  </si>
  <si>
    <t>Croissant</t>
  </si>
  <si>
    <t>Pain aux Raisins</t>
  </si>
  <si>
    <t>Chausson aux Pommes</t>
  </si>
  <si>
    <t>Mini pain au chocolat</t>
  </si>
  <si>
    <t>Mini Croissant</t>
  </si>
  <si>
    <t>Mini Pain aux raisins</t>
  </si>
  <si>
    <t>Pizza Carrée Poulet (1 part)</t>
  </si>
  <si>
    <t>Pizza Carrée Végétarienne (1 part)</t>
  </si>
  <si>
    <t>Pizza Carrée  Végétarienne (1 part)</t>
  </si>
  <si>
    <t>BON   DE  FABRICATION PETIT DEJEUNER</t>
  </si>
  <si>
    <t>CLIENT</t>
  </si>
  <si>
    <t>DATE :</t>
  </si>
  <si>
    <t>HEURE :</t>
  </si>
  <si>
    <t>LIEU :</t>
  </si>
  <si>
    <t>A EMPORTER :</t>
  </si>
  <si>
    <t>Nombre :</t>
  </si>
  <si>
    <t>NATURE DE LA PRESTATION</t>
  </si>
  <si>
    <t>FABRICATION ET SORTIES</t>
  </si>
  <si>
    <t>Boissons  chaudes</t>
  </si>
  <si>
    <t>Thermos café</t>
  </si>
  <si>
    <t>Thermos thé</t>
  </si>
  <si>
    <t>lait</t>
  </si>
  <si>
    <t>sucre</t>
  </si>
  <si>
    <t>sachet de thé</t>
  </si>
  <si>
    <t>agitateur</t>
  </si>
  <si>
    <t>mini croissants</t>
  </si>
  <si>
    <t>serviette</t>
  </si>
  <si>
    <t>mini pain choco</t>
  </si>
  <si>
    <t>gobelet à café</t>
  </si>
  <si>
    <t>mini pain aux raisins</t>
  </si>
  <si>
    <t>gobelet à thé</t>
  </si>
  <si>
    <t>Verre cristal</t>
  </si>
  <si>
    <t>nappe en papier</t>
  </si>
  <si>
    <t>ciseaux + scotch</t>
  </si>
  <si>
    <t>nappe en tissu</t>
  </si>
  <si>
    <t>sac poubelle</t>
  </si>
  <si>
    <t>BOISSON ECONOMAT</t>
  </si>
  <si>
    <t>RETOURS  BOISSONS</t>
  </si>
  <si>
    <t xml:space="preserve">Jus d'orange </t>
  </si>
  <si>
    <t>Jus de pamplemousse</t>
  </si>
  <si>
    <t>Jus de pomme</t>
  </si>
  <si>
    <t xml:space="preserve">Eau cristaline 1,50 </t>
  </si>
  <si>
    <t>non</t>
  </si>
  <si>
    <t>Rez de Jardin Cantine</t>
  </si>
  <si>
    <t>Salle Premier Niveau Cantine</t>
  </si>
  <si>
    <t>Location de salle AURI TVA à 20%</t>
  </si>
  <si>
    <t>Restaurant Club (modalités à voir avec le Responsable du Club)</t>
  </si>
  <si>
    <t>PATISSERIE</t>
  </si>
  <si>
    <t>GRIGNOTE</t>
  </si>
  <si>
    <t>CHAUD</t>
  </si>
  <si>
    <t>BANQUET</t>
  </si>
  <si>
    <t>Pause Café</t>
  </si>
  <si>
    <t>date</t>
  </si>
  <si>
    <t>heure de préparation</t>
  </si>
  <si>
    <t xml:space="preserve"> </t>
  </si>
  <si>
    <t>Une confirmation vous sera alors envoyée, en retour.</t>
  </si>
  <si>
    <t>Date de l'événement :</t>
  </si>
  <si>
    <t>Adresse :</t>
  </si>
  <si>
    <t>Ville :</t>
  </si>
  <si>
    <t>N° de téléphone :</t>
  </si>
  <si>
    <t>Heure de l'événement :</t>
  </si>
  <si>
    <t>INFORMATION SUPPLEMENTAIRE</t>
  </si>
  <si>
    <t>TOTAL TVA</t>
  </si>
  <si>
    <t>MONTANT HT</t>
  </si>
  <si>
    <t>D E V I S n°</t>
  </si>
  <si>
    <r>
      <t>Envoyer ce devis par mail à :</t>
    </r>
    <r>
      <rPr>
        <b/>
        <sz val="18"/>
        <color indexed="49"/>
        <rFont val="Calibri"/>
        <family val="2"/>
      </rPr>
      <t xml:space="preserve"> </t>
    </r>
    <r>
      <rPr>
        <b/>
        <sz val="18"/>
        <color indexed="49"/>
        <rFont val="Calibri"/>
        <family val="2"/>
      </rPr>
      <t>banquet@aurirestaurant.fr</t>
    </r>
  </si>
  <si>
    <t>Lieu de l'événement :</t>
  </si>
  <si>
    <t>Objet de l'événement :</t>
  </si>
  <si>
    <t>Date de la commande :</t>
  </si>
  <si>
    <t>BON DE COMMANDE PRESTATIONS ANNEXES -  2017</t>
  </si>
  <si>
    <r>
      <t xml:space="preserve">Merci de nous retourner ce devis, dûment signé (tampon du service et mention manuscrite </t>
    </r>
    <r>
      <rPr>
        <b/>
        <sz val="14"/>
        <color indexed="49"/>
        <rFont val="Calibri"/>
        <family val="2"/>
      </rPr>
      <t>"bon pour accord").Tout devis incomplet ne sera pas pris en compte.</t>
    </r>
  </si>
  <si>
    <t>Tel :</t>
  </si>
  <si>
    <t>adresse mail :</t>
  </si>
  <si>
    <t>mail :</t>
  </si>
  <si>
    <t>Adresse:</t>
  </si>
  <si>
    <t>Code Postal :</t>
  </si>
  <si>
    <t>TOTAL HT</t>
  </si>
  <si>
    <t>TOTAL GENERAL  TTC</t>
  </si>
  <si>
    <t>Indiquer le nom de la personne Chargée de la mise
en paiement des factures et/ou du centre chorus</t>
  </si>
  <si>
    <t>A Emporter</t>
  </si>
  <si>
    <t>Forfait</t>
  </si>
  <si>
    <t>Lait 1l</t>
  </si>
  <si>
    <t>Choisir un élément</t>
  </si>
  <si>
    <t>DEVIS</t>
  </si>
  <si>
    <t>Thermos de café avec matériel (20 personnes)</t>
  </si>
  <si>
    <t>Prestations</t>
  </si>
  <si>
    <t>Repas au self</t>
  </si>
  <si>
    <t>Ticket Repas 1 (Entrée, Plat, Dessert)</t>
  </si>
  <si>
    <t>Ticket Repas 2 (Entrée, Plat, Dessert, Boisson)</t>
  </si>
  <si>
    <t>Thermos de thé avec matériel (10 personnes)</t>
  </si>
  <si>
    <t>Paris,</t>
  </si>
  <si>
    <t>Type de client</t>
  </si>
  <si>
    <t>Type de client :</t>
  </si>
  <si>
    <t>Mode de règlement :</t>
  </si>
  <si>
    <t>Nom Prénom :</t>
  </si>
  <si>
    <t>Ministére :</t>
  </si>
  <si>
    <t xml:space="preserve">Nom de la persone
</t>
  </si>
  <si>
    <t>Chargé du Paiement :</t>
  </si>
  <si>
    <t>Organisateur :</t>
  </si>
  <si>
    <t>Bon de commande :</t>
  </si>
  <si>
    <t>Choisir un lieu</t>
  </si>
  <si>
    <t>F A C T U R E 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</si>
</sst>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,##0.00\ &quot;€&quot;"/>
    <numFmt numFmtId="165" formatCode="d\ mmmm\ yyyy"/>
    <numFmt numFmtId="166" formatCode="[$-F800]dddd\,\ mmmm\ dd\,\ yyyy"/>
    <numFmt numFmtId="167" formatCode="00000"/>
    <numFmt numFmtId="168" formatCode="0#&quot; &quot;##&quot; &quot;##&quot; &quot;##&quot; &quot;##"/>
    <numFmt numFmtId="169" formatCode="h:mm;@"/>
    <numFmt numFmtId="170" formatCode="#,##0_ ;\-#,##0\ "/>
    <numFmt numFmtId="171" formatCode="&quot;le&quot;\ dd/mm/yyyy"/>
  </numFmts>
  <fonts count="65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BC"/>
    </font>
    <font>
      <b/>
      <sz val="10"/>
      <name val="BC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1"/>
      <name val="Tahoma"/>
      <family val="2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Cambria"/>
      <family val="1"/>
    </font>
    <font>
      <sz val="14"/>
      <color indexed="28"/>
      <name val="Calibri"/>
      <family val="2"/>
    </font>
    <font>
      <b/>
      <sz val="18"/>
      <color indexed="49"/>
      <name val="Calibri"/>
      <family val="2"/>
    </font>
    <font>
      <b/>
      <sz val="14"/>
      <color indexed="49"/>
      <name val="Calibri"/>
      <family val="2"/>
    </font>
    <font>
      <b/>
      <sz val="18"/>
      <color indexed="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8"/>
      <color theme="7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20"/>
      <color indexed="28"/>
      <name val="Calibri"/>
      <family val="2"/>
    </font>
    <font>
      <sz val="20"/>
      <color theme="7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36"/>
      <color theme="8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36"/>
      <color rgb="FF00B0F0"/>
      <name val="Calibri"/>
      <family val="2"/>
      <scheme val="minor"/>
    </font>
    <font>
      <sz val="36"/>
      <color rgb="FF00B0F0"/>
      <name val="Arial"/>
      <family val="2"/>
    </font>
    <font>
      <b/>
      <sz val="36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33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1" fillId="2" borderId="0" xfId="0" applyFont="1" applyFill="1" applyAlignment="1">
      <alignment horizontal="center"/>
    </xf>
    <xf numFmtId="0" fontId="4" fillId="3" borderId="9" xfId="0" applyFont="1" applyFill="1" applyBorder="1"/>
    <xf numFmtId="0" fontId="0" fillId="0" borderId="4" xfId="0" applyBorder="1"/>
    <xf numFmtId="0" fontId="0" fillId="0" borderId="10" xfId="0" applyBorder="1"/>
    <xf numFmtId="0" fontId="3" fillId="0" borderId="0" xfId="0" applyFont="1" applyFill="1" applyBorder="1"/>
    <xf numFmtId="0" fontId="0" fillId="0" borderId="0" xfId="0" applyProtection="1"/>
    <xf numFmtId="0" fontId="9" fillId="0" borderId="0" xfId="0" applyFont="1" applyBorder="1" applyAlignment="1" applyProtection="1"/>
    <xf numFmtId="0" fontId="3" fillId="0" borderId="4" xfId="0" applyFont="1" applyBorder="1" applyAlignment="1">
      <alignment wrapText="1"/>
    </xf>
    <xf numFmtId="0" fontId="4" fillId="3" borderId="12" xfId="0" applyFont="1" applyFill="1" applyBorder="1"/>
    <xf numFmtId="0" fontId="3" fillId="0" borderId="13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3" fillId="0" borderId="13" xfId="0" applyFont="1" applyFill="1" applyBorder="1"/>
    <xf numFmtId="0" fontId="13" fillId="0" borderId="0" xfId="0" applyFont="1" applyAlignment="1" applyProtection="1"/>
    <xf numFmtId="0" fontId="0" fillId="0" borderId="0" xfId="0" applyBorder="1"/>
    <xf numFmtId="0" fontId="3" fillId="0" borderId="10" xfId="0" applyFont="1" applyBorder="1"/>
    <xf numFmtId="0" fontId="3" fillId="0" borderId="0" xfId="0" applyFont="1" applyBorder="1" applyAlignment="1">
      <alignment wrapText="1"/>
    </xf>
    <xf numFmtId="0" fontId="8" fillId="0" borderId="0" xfId="0" applyFont="1"/>
    <xf numFmtId="0" fontId="8" fillId="0" borderId="10" xfId="0" applyFont="1" applyBorder="1"/>
    <xf numFmtId="0" fontId="0" fillId="0" borderId="13" xfId="0" applyBorder="1"/>
    <xf numFmtId="0" fontId="3" fillId="0" borderId="16" xfId="0" applyFont="1" applyBorder="1"/>
    <xf numFmtId="0" fontId="3" fillId="0" borderId="15" xfId="0" applyFont="1" applyBorder="1"/>
    <xf numFmtId="0" fontId="8" fillId="0" borderId="4" xfId="0" applyFont="1" applyBorder="1"/>
    <xf numFmtId="9" fontId="0" fillId="0" borderId="0" xfId="0" applyNumberFormat="1"/>
    <xf numFmtId="44" fontId="0" fillId="0" borderId="0" xfId="0" applyNumberFormat="1"/>
    <xf numFmtId="44" fontId="3" fillId="0" borderId="0" xfId="0" applyNumberFormat="1" applyFont="1" applyFill="1" applyBorder="1"/>
    <xf numFmtId="0" fontId="3" fillId="0" borderId="15" xfId="0" applyFont="1" applyFill="1" applyBorder="1"/>
    <xf numFmtId="0" fontId="0" fillId="0" borderId="0" xfId="0" applyAlignment="1" applyProtection="1"/>
    <xf numFmtId="0" fontId="0" fillId="0" borderId="0" xfId="0" applyAlignment="1"/>
    <xf numFmtId="170" fontId="0" fillId="0" borderId="0" xfId="0" applyNumberFormat="1"/>
    <xf numFmtId="0" fontId="3" fillId="0" borderId="4" xfId="0" applyFont="1" applyBorder="1" applyAlignment="1">
      <alignment horizontal="left"/>
    </xf>
    <xf numFmtId="0" fontId="2" fillId="5" borderId="17" xfId="2" applyFont="1" applyFill="1" applyBorder="1" applyAlignment="1">
      <alignment horizontal="left" vertical="center" indent="1"/>
    </xf>
    <xf numFmtId="0" fontId="6" fillId="5" borderId="18" xfId="2" applyFont="1" applyFill="1" applyBorder="1" applyAlignment="1">
      <alignment horizontal="center" vertical="center"/>
    </xf>
    <xf numFmtId="0" fontId="6" fillId="5" borderId="19" xfId="2" applyFont="1" applyFill="1" applyBorder="1" applyAlignment="1">
      <alignment horizontal="center" vertical="center"/>
    </xf>
    <xf numFmtId="0" fontId="13" fillId="5" borderId="20" xfId="2" applyFont="1" applyFill="1" applyBorder="1" applyAlignment="1">
      <alignment horizontal="center" vertical="center"/>
    </xf>
    <xf numFmtId="0" fontId="18" fillId="5" borderId="20" xfId="2" applyFont="1" applyFill="1" applyBorder="1" applyAlignment="1">
      <alignment horizontal="center" vertical="center"/>
    </xf>
    <xf numFmtId="0" fontId="6" fillId="5" borderId="0" xfId="2" applyFont="1" applyFill="1" applyBorder="1"/>
    <xf numFmtId="0" fontId="13" fillId="5" borderId="0" xfId="2" applyFont="1" applyFill="1" applyBorder="1"/>
    <xf numFmtId="0" fontId="6" fillId="5" borderId="21" xfId="2" applyFont="1" applyFill="1" applyBorder="1" applyAlignment="1">
      <alignment horizontal="left"/>
    </xf>
    <xf numFmtId="0" fontId="6" fillId="5" borderId="4" xfId="2" applyFont="1" applyFill="1" applyBorder="1" applyAlignment="1">
      <alignment horizontal="center" vertical="center"/>
    </xf>
    <xf numFmtId="0" fontId="13" fillId="5" borderId="22" xfId="2" applyFont="1" applyFill="1" applyBorder="1"/>
    <xf numFmtId="0" fontId="13" fillId="5" borderId="13" xfId="2" applyFont="1" applyFill="1" applyBorder="1"/>
    <xf numFmtId="0" fontId="13" fillId="4" borderId="21" xfId="2" applyFont="1" applyFill="1" applyBorder="1"/>
    <xf numFmtId="0" fontId="2" fillId="5" borderId="23" xfId="2" applyFont="1" applyFill="1" applyBorder="1" applyAlignment="1">
      <alignment horizontal="center" vertical="center"/>
    </xf>
    <xf numFmtId="0" fontId="16" fillId="5" borderId="4" xfId="2" applyFont="1" applyFill="1" applyBorder="1" applyAlignment="1">
      <alignment horizontal="center" vertical="center"/>
    </xf>
    <xf numFmtId="168" fontId="16" fillId="5" borderId="24" xfId="2" applyNumberFormat="1" applyFont="1" applyFill="1" applyBorder="1" applyAlignment="1">
      <alignment vertical="center"/>
    </xf>
    <xf numFmtId="0" fontId="16" fillId="0" borderId="25" xfId="2" applyFont="1" applyBorder="1" applyAlignment="1">
      <alignment horizontal="center" vertical="center"/>
    </xf>
    <xf numFmtId="0" fontId="16" fillId="0" borderId="20" xfId="2" applyFont="1" applyBorder="1" applyAlignment="1"/>
    <xf numFmtId="0" fontId="8" fillId="0" borderId="25" xfId="2" applyFont="1" applyBorder="1" applyAlignment="1"/>
    <xf numFmtId="0" fontId="15" fillId="0" borderId="20" xfId="2" applyFont="1" applyBorder="1" applyAlignment="1"/>
    <xf numFmtId="0" fontId="8" fillId="0" borderId="26" xfId="2" applyFont="1" applyBorder="1" applyAlignment="1"/>
    <xf numFmtId="0" fontId="14" fillId="0" borderId="27" xfId="2" applyFont="1" applyBorder="1" applyAlignment="1">
      <alignment horizontal="center" vertical="center"/>
    </xf>
    <xf numFmtId="0" fontId="18" fillId="0" borderId="28" xfId="2" applyFont="1" applyBorder="1" applyAlignment="1"/>
    <xf numFmtId="0" fontId="8" fillId="0" borderId="29" xfId="2" applyFont="1" applyBorder="1" applyAlignment="1"/>
    <xf numFmtId="0" fontId="14" fillId="0" borderId="25" xfId="2" applyFont="1" applyBorder="1" applyAlignment="1">
      <alignment horizontal="center" vertical="center"/>
    </xf>
    <xf numFmtId="0" fontId="18" fillId="0" borderId="20" xfId="2" applyFont="1" applyBorder="1" applyAlignment="1"/>
    <xf numFmtId="0" fontId="14" fillId="0" borderId="30" xfId="2" applyFont="1" applyBorder="1" applyAlignment="1">
      <alignment horizontal="center" vertical="center"/>
    </xf>
    <xf numFmtId="0" fontId="18" fillId="0" borderId="31" xfId="2" applyFont="1" applyBorder="1" applyAlignment="1"/>
    <xf numFmtId="0" fontId="8" fillId="0" borderId="32" xfId="2" applyFont="1" applyBorder="1" applyAlignment="1"/>
    <xf numFmtId="0" fontId="14" fillId="0" borderId="17" xfId="2" applyFont="1" applyBorder="1" applyAlignment="1">
      <alignment horizontal="center" vertical="center"/>
    </xf>
    <xf numFmtId="0" fontId="18" fillId="0" borderId="33" xfId="2" applyFont="1" applyBorder="1" applyAlignment="1"/>
    <xf numFmtId="0" fontId="8" fillId="0" borderId="34" xfId="2" applyFont="1" applyBorder="1" applyAlignment="1"/>
    <xf numFmtId="0" fontId="16" fillId="0" borderId="20" xfId="2" applyFont="1" applyBorder="1" applyAlignment="1">
      <alignment horizontal="left"/>
    </xf>
    <xf numFmtId="0" fontId="16" fillId="0" borderId="30" xfId="2" applyFont="1" applyBorder="1" applyAlignment="1">
      <alignment horizontal="center" vertical="center"/>
    </xf>
    <xf numFmtId="0" fontId="16" fillId="0" borderId="31" xfId="2" applyFont="1" applyBorder="1" applyAlignment="1"/>
    <xf numFmtId="0" fontId="8" fillId="0" borderId="27" xfId="2" applyFont="1" applyBorder="1" applyAlignment="1"/>
    <xf numFmtId="0" fontId="8" fillId="0" borderId="0" xfId="2"/>
    <xf numFmtId="9" fontId="3" fillId="0" borderId="4" xfId="0" applyNumberFormat="1" applyFont="1" applyBorder="1"/>
    <xf numFmtId="0" fontId="19" fillId="0" borderId="0" xfId="0" applyFont="1"/>
    <xf numFmtId="0" fontId="19" fillId="0" borderId="4" xfId="0" applyFont="1" applyBorder="1"/>
    <xf numFmtId="0" fontId="0" fillId="0" borderId="1" xfId="0" applyBorder="1"/>
    <xf numFmtId="44" fontId="8" fillId="0" borderId="2" xfId="0" applyNumberFormat="1" applyFont="1" applyBorder="1"/>
    <xf numFmtId="0" fontId="3" fillId="0" borderId="2" xfId="0" applyFont="1" applyFill="1" applyBorder="1"/>
    <xf numFmtId="44" fontId="3" fillId="0" borderId="35" xfId="0" applyNumberFormat="1" applyFont="1" applyFill="1" applyBorder="1"/>
    <xf numFmtId="44" fontId="0" fillId="0" borderId="4" xfId="0" applyNumberFormat="1" applyBorder="1"/>
    <xf numFmtId="170" fontId="0" fillId="0" borderId="4" xfId="0" applyNumberFormat="1" applyBorder="1"/>
    <xf numFmtId="9" fontId="3" fillId="0" borderId="4" xfId="0" applyNumberFormat="1" applyFont="1" applyFill="1" applyBorder="1"/>
    <xf numFmtId="44" fontId="3" fillId="0" borderId="8" xfId="0" applyNumberFormat="1" applyFont="1" applyFill="1" applyBorder="1"/>
    <xf numFmtId="9" fontId="0" fillId="0" borderId="4" xfId="0" applyNumberFormat="1" applyBorder="1"/>
    <xf numFmtId="0" fontId="3" fillId="0" borderId="8" xfId="0" applyFont="1" applyBorder="1"/>
    <xf numFmtId="0" fontId="0" fillId="0" borderId="3" xfId="0" applyBorder="1"/>
    <xf numFmtId="44" fontId="0" fillId="0" borderId="4" xfId="0" applyNumberFormat="1" applyFill="1" applyBorder="1"/>
    <xf numFmtId="170" fontId="0" fillId="0" borderId="4" xfId="0" applyNumberFormat="1" applyFill="1" applyBorder="1"/>
    <xf numFmtId="0" fontId="3" fillId="0" borderId="3" xfId="0" applyFont="1" applyFill="1" applyBorder="1"/>
    <xf numFmtId="0" fontId="3" fillId="0" borderId="3" xfId="0" applyFont="1" applyBorder="1" applyAlignment="1">
      <alignment horizontal="left"/>
    </xf>
    <xf numFmtId="44" fontId="0" fillId="0" borderId="6" xfId="0" applyNumberFormat="1" applyBorder="1"/>
    <xf numFmtId="170" fontId="0" fillId="0" borderId="6" xfId="0" applyNumberFormat="1" applyBorder="1"/>
    <xf numFmtId="9" fontId="0" fillId="0" borderId="6" xfId="0" applyNumberFormat="1" applyBorder="1"/>
    <xf numFmtId="44" fontId="3" fillId="0" borderId="11" xfId="0" applyNumberFormat="1" applyFont="1" applyFill="1" applyBorder="1"/>
    <xf numFmtId="14" fontId="0" fillId="0" borderId="0" xfId="0" applyNumberFormat="1"/>
    <xf numFmtId="169" fontId="0" fillId="0" borderId="0" xfId="0" applyNumberFormat="1"/>
    <xf numFmtId="0" fontId="15" fillId="0" borderId="0" xfId="0" applyFont="1" applyProtection="1"/>
    <xf numFmtId="0" fontId="23" fillId="7" borderId="0" xfId="0" applyFont="1" applyFill="1" applyAlignment="1" applyProtection="1">
      <alignment horizontal="centerContinuous"/>
    </xf>
    <xf numFmtId="0" fontId="24" fillId="0" borderId="0" xfId="0" applyFont="1" applyAlignment="1" applyProtection="1">
      <alignment horizontal="centerContinuous"/>
    </xf>
    <xf numFmtId="0" fontId="25" fillId="0" borderId="0" xfId="0" applyFont="1" applyFill="1" applyAlignment="1" applyProtection="1">
      <alignment horizontal="centerContinuous"/>
    </xf>
    <xf numFmtId="0" fontId="23" fillId="0" borderId="0" xfId="0" applyFont="1" applyFill="1" applyAlignment="1" applyProtection="1">
      <alignment horizontal="centerContinuous"/>
    </xf>
    <xf numFmtId="0" fontId="26" fillId="7" borderId="0" xfId="0" applyFont="1" applyFill="1" applyAlignment="1" applyProtection="1">
      <alignment horizontal="center"/>
    </xf>
    <xf numFmtId="0" fontId="24" fillId="0" borderId="0" xfId="0" applyFont="1" applyAlignment="1" applyProtection="1"/>
    <xf numFmtId="0" fontId="27" fillId="5" borderId="0" xfId="0" applyFont="1" applyFill="1" applyAlignment="1" applyProtection="1">
      <alignment horizontal="center"/>
    </xf>
    <xf numFmtId="0" fontId="26" fillId="5" borderId="0" xfId="0" applyFont="1" applyFill="1" applyAlignment="1" applyProtection="1">
      <alignment horizontal="center"/>
    </xf>
    <xf numFmtId="0" fontId="28" fillId="0" borderId="0" xfId="1" applyFont="1" applyAlignment="1" applyProtection="1">
      <alignment horizontal="center"/>
      <protection locked="0"/>
    </xf>
    <xf numFmtId="0" fontId="29" fillId="0" borderId="0" xfId="1" applyFont="1" applyAlignment="1" applyProtection="1">
      <alignment horizontal="center"/>
      <protection locked="0"/>
    </xf>
    <xf numFmtId="0" fontId="27" fillId="5" borderId="0" xfId="0" applyFont="1" applyFill="1" applyAlignment="1" applyProtection="1">
      <alignment horizontal="left"/>
    </xf>
    <xf numFmtId="0" fontId="30" fillId="0" borderId="0" xfId="0" applyFont="1" applyProtection="1"/>
    <xf numFmtId="0" fontId="27" fillId="0" borderId="0" xfId="0" applyFont="1" applyFill="1" applyAlignment="1" applyProtection="1"/>
    <xf numFmtId="0" fontId="31" fillId="0" borderId="0" xfId="0" applyFont="1" applyProtection="1"/>
    <xf numFmtId="0" fontId="24" fillId="0" borderId="0" xfId="0" applyFont="1" applyProtection="1"/>
    <xf numFmtId="0" fontId="31" fillId="5" borderId="0" xfId="0" applyFont="1" applyFill="1" applyProtection="1"/>
    <xf numFmtId="0" fontId="30" fillId="0" borderId="0" xfId="1" applyFont="1" applyAlignment="1" applyProtection="1"/>
    <xf numFmtId="0" fontId="32" fillId="0" borderId="0" xfId="0" applyFont="1" applyFill="1" applyAlignment="1" applyProtection="1">
      <alignment horizontal="center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center"/>
    </xf>
    <xf numFmtId="0" fontId="34" fillId="0" borderId="0" xfId="0" applyFont="1" applyProtection="1"/>
    <xf numFmtId="0" fontId="33" fillId="0" borderId="0" xfId="0" applyFont="1" applyFill="1" applyAlignment="1" applyProtection="1"/>
    <xf numFmtId="0" fontId="23" fillId="0" borderId="0" xfId="0" applyFont="1" applyFill="1" applyAlignment="1" applyProtection="1"/>
    <xf numFmtId="169" fontId="23" fillId="0" borderId="0" xfId="0" applyNumberFormat="1" applyFont="1" applyFill="1" applyAlignment="1" applyProtection="1"/>
    <xf numFmtId="0" fontId="34" fillId="0" borderId="0" xfId="0" applyFont="1" applyBorder="1" applyProtection="1">
      <protection locked="0"/>
    </xf>
    <xf numFmtId="0" fontId="34" fillId="0" borderId="0" xfId="0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26" fillId="0" borderId="36" xfId="0" applyFont="1" applyFill="1" applyBorder="1" applyAlignment="1" applyProtection="1">
      <alignment wrapText="1" shrinkToFit="1"/>
      <protection locked="0"/>
    </xf>
    <xf numFmtId="44" fontId="26" fillId="0" borderId="36" xfId="0" applyNumberFormat="1" applyFont="1" applyBorder="1" applyAlignment="1" applyProtection="1">
      <alignment shrinkToFit="1"/>
    </xf>
    <xf numFmtId="1" fontId="26" fillId="0" borderId="36" xfId="0" applyNumberFormat="1" applyFont="1" applyBorder="1" applyAlignment="1" applyProtection="1">
      <alignment horizontal="center" shrinkToFit="1"/>
    </xf>
    <xf numFmtId="0" fontId="26" fillId="0" borderId="36" xfId="0" applyNumberFormat="1" applyFont="1" applyBorder="1" applyAlignment="1" applyProtection="1">
      <alignment shrinkToFit="1"/>
    </xf>
    <xf numFmtId="0" fontId="26" fillId="0" borderId="36" xfId="0" applyFont="1" applyBorder="1" applyAlignment="1" applyProtection="1">
      <alignment wrapText="1" shrinkToFit="1"/>
      <protection locked="0"/>
    </xf>
    <xf numFmtId="0" fontId="35" fillId="0" borderId="0" xfId="0" applyFont="1" applyProtection="1"/>
    <xf numFmtId="0" fontId="31" fillId="0" borderId="0" xfId="0" applyFont="1"/>
    <xf numFmtId="0" fontId="36" fillId="0" borderId="0" xfId="0" applyFont="1" applyProtection="1"/>
    <xf numFmtId="0" fontId="25" fillId="0" borderId="0" xfId="0" applyFont="1" applyFill="1" applyAlignment="1" applyProtection="1">
      <alignment horizontal="center"/>
    </xf>
    <xf numFmtId="0" fontId="37" fillId="8" borderId="0" xfId="0" applyFont="1" applyFill="1" applyAlignment="1" applyProtection="1">
      <alignment horizontal="centerContinuous" vertical="center" wrapText="1"/>
    </xf>
    <xf numFmtId="0" fontId="37" fillId="8" borderId="0" xfId="0" applyFont="1" applyFill="1" applyBorder="1" applyAlignment="1" applyProtection="1">
      <alignment horizontal="left" vertical="center" wrapText="1"/>
    </xf>
    <xf numFmtId="0" fontId="39" fillId="8" borderId="0" xfId="0" applyFont="1" applyFill="1" applyAlignment="1" applyProtection="1">
      <alignment vertical="center"/>
    </xf>
    <xf numFmtId="0" fontId="26" fillId="0" borderId="0" xfId="0" applyFont="1" applyProtection="1"/>
    <xf numFmtId="0" fontId="40" fillId="0" borderId="0" xfId="0" applyFont="1" applyBorder="1" applyProtection="1"/>
    <xf numFmtId="0" fontId="41" fillId="8" borderId="36" xfId="0" applyFont="1" applyFill="1" applyBorder="1" applyAlignment="1" applyProtection="1">
      <alignment horizontal="center" vertical="center" wrapText="1"/>
    </xf>
    <xf numFmtId="0" fontId="41" fillId="8" borderId="37" xfId="0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Protection="1"/>
    <xf numFmtId="0" fontId="43" fillId="8" borderId="0" xfId="0" applyFont="1" applyFill="1" applyAlignment="1" applyProtection="1">
      <alignment horizontal="centerContinuous" vertical="center" wrapText="1"/>
    </xf>
    <xf numFmtId="0" fontId="44" fillId="8" borderId="0" xfId="0" applyFont="1" applyFill="1" applyAlignment="1" applyProtection="1">
      <alignment horizontal="centerContinuous" vertical="center" wrapText="1"/>
    </xf>
    <xf numFmtId="44" fontId="26" fillId="0" borderId="38" xfId="0" applyNumberFormat="1" applyFont="1" applyBorder="1" applyAlignment="1" applyProtection="1">
      <alignment shrinkToFit="1"/>
    </xf>
    <xf numFmtId="0" fontId="20" fillId="0" borderId="0" xfId="0" applyFont="1" applyFill="1" applyAlignment="1" applyProtection="1"/>
    <xf numFmtId="0" fontId="8" fillId="0" borderId="0" xfId="0" applyFont="1" applyAlignment="1" applyProtection="1"/>
    <xf numFmtId="0" fontId="38" fillId="0" borderId="0" xfId="0" applyFont="1" applyAlignment="1" applyProtection="1">
      <alignment vertical="top" wrapText="1"/>
    </xf>
    <xf numFmtId="0" fontId="26" fillId="0" borderId="0" xfId="0" applyFont="1" applyAlignment="1" applyProtection="1">
      <alignment horizontal="right" wrapText="1"/>
    </xf>
    <xf numFmtId="0" fontId="26" fillId="0" borderId="0" xfId="0" applyFont="1" applyAlignment="1" applyProtection="1">
      <alignment horizontal="right"/>
    </xf>
    <xf numFmtId="169" fontId="33" fillId="0" borderId="0" xfId="0" applyNumberFormat="1" applyFont="1" applyBorder="1" applyAlignment="1" applyProtection="1">
      <alignment horizontal="right"/>
      <protection locked="0"/>
    </xf>
    <xf numFmtId="165" fontId="33" fillId="0" borderId="0" xfId="0" applyNumberFormat="1" applyFont="1" applyBorder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right"/>
    </xf>
    <xf numFmtId="0" fontId="26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5" fillId="0" borderId="0" xfId="0" applyFont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right"/>
    </xf>
    <xf numFmtId="0" fontId="15" fillId="0" borderId="36" xfId="0" applyFont="1" applyBorder="1" applyProtection="1"/>
    <xf numFmtId="0" fontId="26" fillId="0" borderId="38" xfId="0" applyFont="1" applyBorder="1" applyAlignment="1" applyProtection="1">
      <alignment wrapText="1" shrinkToFit="1"/>
      <protection locked="0"/>
    </xf>
    <xf numFmtId="1" fontId="26" fillId="0" borderId="38" xfId="0" applyNumberFormat="1" applyFont="1" applyBorder="1" applyAlignment="1" applyProtection="1">
      <alignment horizontal="center" shrinkToFit="1"/>
    </xf>
    <xf numFmtId="0" fontId="37" fillId="0" borderId="39" xfId="0" applyFont="1" applyBorder="1" applyAlignment="1">
      <alignment horizontal="left"/>
    </xf>
    <xf numFmtId="44" fontId="37" fillId="0" borderId="39" xfId="0" applyNumberFormat="1" applyFont="1" applyBorder="1" applyAlignment="1">
      <alignment horizontal="left"/>
    </xf>
    <xf numFmtId="44" fontId="37" fillId="0" borderId="40" xfId="0" applyNumberFormat="1" applyFont="1" applyBorder="1" applyAlignment="1">
      <alignment horizontal="left"/>
    </xf>
    <xf numFmtId="44" fontId="37" fillId="0" borderId="39" xfId="0" applyNumberFormat="1" applyFont="1" applyBorder="1" applyAlignment="1"/>
    <xf numFmtId="44" fontId="37" fillId="0" borderId="41" xfId="0" applyNumberFormat="1" applyFont="1" applyBorder="1" applyAlignment="1"/>
    <xf numFmtId="44" fontId="37" fillId="0" borderId="42" xfId="0" applyNumberFormat="1" applyFont="1" applyBorder="1" applyAlignment="1">
      <alignment horizontal="left"/>
    </xf>
    <xf numFmtId="0" fontId="40" fillId="0" borderId="0" xfId="0" applyFont="1" applyFill="1" applyAlignment="1" applyProtection="1">
      <alignment horizontal="left"/>
    </xf>
    <xf numFmtId="0" fontId="29" fillId="0" borderId="0" xfId="1" applyFont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/>
    <xf numFmtId="0" fontId="26" fillId="0" borderId="20" xfId="0" applyFont="1" applyBorder="1" applyAlignment="1" applyProtection="1">
      <alignment horizontal="left"/>
      <protection locked="0"/>
    </xf>
    <xf numFmtId="0" fontId="34" fillId="0" borderId="37" xfId="0" applyFont="1" applyBorder="1" applyAlignment="1" applyProtection="1">
      <alignment horizontal="center" vertical="center" wrapText="1"/>
      <protection locked="0"/>
    </xf>
    <xf numFmtId="0" fontId="34" fillId="0" borderId="48" xfId="0" applyFont="1" applyBorder="1" applyAlignment="1" applyProtection="1">
      <alignment horizontal="center" vertical="center" wrapText="1"/>
      <protection locked="0"/>
    </xf>
    <xf numFmtId="0" fontId="47" fillId="0" borderId="43" xfId="1" applyFont="1" applyBorder="1" applyAlignment="1" applyProtection="1">
      <alignment vertical="top"/>
      <protection locked="0"/>
    </xf>
    <xf numFmtId="0" fontId="47" fillId="0" borderId="0" xfId="1" applyFont="1" applyBorder="1" applyAlignment="1" applyProtection="1">
      <alignment horizontal="centerContinuous" vertical="top"/>
      <protection locked="0"/>
    </xf>
    <xf numFmtId="0" fontId="13" fillId="0" borderId="0" xfId="0" applyFont="1" applyAlignment="1" applyProtection="1">
      <alignment horizontal="centerContinuous"/>
    </xf>
    <xf numFmtId="14" fontId="32" fillId="0" borderId="0" xfId="0" applyNumberFormat="1" applyFont="1" applyFill="1" applyBorder="1" applyAlignment="1" applyProtection="1">
      <alignment horizontal="center"/>
    </xf>
    <xf numFmtId="169" fontId="3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6" fillId="0" borderId="0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/>
    </xf>
    <xf numFmtId="0" fontId="37" fillId="8" borderId="0" xfId="0" applyFont="1" applyFill="1" applyBorder="1" applyAlignment="1" applyProtection="1">
      <alignment horizontal="centerContinuous" vertical="center" wrapText="1"/>
    </xf>
    <xf numFmtId="0" fontId="53" fillId="0" borderId="0" xfId="0" applyFont="1" applyFill="1" applyAlignment="1" applyProtection="1">
      <alignment horizontal="right"/>
    </xf>
    <xf numFmtId="0" fontId="48" fillId="5" borderId="0" xfId="0" applyFont="1" applyFill="1" applyBorder="1" applyAlignment="1" applyProtection="1">
      <alignment vertical="top"/>
    </xf>
    <xf numFmtId="0" fontId="31" fillId="5" borderId="0" xfId="0" applyFont="1" applyFill="1" applyBorder="1" applyAlignment="1" applyProtection="1"/>
    <xf numFmtId="0" fontId="50" fillId="0" borderId="0" xfId="1" applyFont="1" applyBorder="1" applyAlignment="1" applyProtection="1">
      <protection locked="0"/>
    </xf>
    <xf numFmtId="0" fontId="30" fillId="0" borderId="0" xfId="0" applyFont="1" applyBorder="1" applyAlignment="1" applyProtection="1"/>
    <xf numFmtId="0" fontId="18" fillId="0" borderId="0" xfId="0" applyFont="1" applyAlignment="1" applyProtection="1">
      <alignment shrinkToFit="1"/>
    </xf>
    <xf numFmtId="0" fontId="54" fillId="0" borderId="0" xfId="0" applyFont="1" applyFill="1" applyBorder="1" applyAlignment="1" applyProtection="1">
      <alignment shrinkToFit="1"/>
    </xf>
    <xf numFmtId="0" fontId="18" fillId="0" borderId="0" xfId="0" applyFont="1" applyBorder="1" applyAlignment="1" applyProtection="1">
      <alignment shrinkToFit="1"/>
    </xf>
    <xf numFmtId="0" fontId="55" fillId="0" borderId="0" xfId="0" applyFont="1" applyFill="1" applyBorder="1" applyAlignment="1" applyProtection="1">
      <alignment horizontal="left" shrinkToFit="1"/>
    </xf>
    <xf numFmtId="0" fontId="55" fillId="0" borderId="0" xfId="1" applyFont="1" applyBorder="1" applyAlignment="1" applyProtection="1">
      <alignment horizontal="center" shrinkToFit="1"/>
    </xf>
    <xf numFmtId="0" fontId="26" fillId="0" borderId="36" xfId="0" applyFont="1" applyFill="1" applyBorder="1" applyAlignment="1" applyProtection="1">
      <alignment shrinkToFit="1"/>
      <protection locked="0"/>
    </xf>
    <xf numFmtId="0" fontId="39" fillId="8" borderId="59" xfId="0" applyFont="1" applyFill="1" applyBorder="1" applyAlignment="1">
      <alignment horizontal="center" vertical="center"/>
    </xf>
    <xf numFmtId="0" fontId="39" fillId="8" borderId="3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6" fillId="0" borderId="36" xfId="0" applyNumberFormat="1" applyFont="1" applyFill="1" applyBorder="1" applyAlignment="1" applyProtection="1">
      <alignment shrinkToFit="1"/>
      <protection locked="0"/>
    </xf>
    <xf numFmtId="0" fontId="3" fillId="0" borderId="63" xfId="0" applyFont="1" applyBorder="1"/>
    <xf numFmtId="0" fontId="26" fillId="0" borderId="36" xfId="0" applyNumberFormat="1" applyFont="1" applyBorder="1" applyAlignment="1" applyProtection="1">
      <alignment shrinkToFit="1"/>
      <protection locked="0"/>
    </xf>
    <xf numFmtId="0" fontId="39" fillId="8" borderId="59" xfId="0" applyFont="1" applyFill="1" applyBorder="1" applyAlignment="1" applyProtection="1">
      <alignment horizontal="center" vertical="center"/>
    </xf>
    <xf numFmtId="0" fontId="39" fillId="8" borderId="39" xfId="0" applyFont="1" applyFill="1" applyBorder="1" applyAlignment="1" applyProtection="1">
      <alignment horizontal="center" vertical="center"/>
    </xf>
    <xf numFmtId="0" fontId="39" fillId="8" borderId="60" xfId="0" applyFont="1" applyFill="1" applyBorder="1" applyAlignment="1" applyProtection="1">
      <alignment horizontal="center" vertical="center"/>
    </xf>
    <xf numFmtId="0" fontId="37" fillId="0" borderId="39" xfId="0" applyFont="1" applyBorder="1" applyAlignment="1" applyProtection="1">
      <alignment horizontal="left"/>
    </xf>
    <xf numFmtId="44" fontId="37" fillId="0" borderId="40" xfId="0" applyNumberFormat="1" applyFont="1" applyBorder="1" applyAlignment="1" applyProtection="1">
      <alignment horizontal="left"/>
    </xf>
    <xf numFmtId="44" fontId="37" fillId="0" borderId="39" xfId="0" applyNumberFormat="1" applyFont="1" applyBorder="1" applyAlignment="1" applyProtection="1"/>
    <xf numFmtId="44" fontId="37" fillId="0" borderId="42" xfId="0" applyNumberFormat="1" applyFont="1" applyBorder="1" applyAlignment="1" applyProtection="1">
      <alignment horizontal="left"/>
    </xf>
    <xf numFmtId="44" fontId="37" fillId="0" borderId="39" xfId="0" applyNumberFormat="1" applyFont="1" applyBorder="1" applyAlignment="1" applyProtection="1">
      <alignment horizontal="left"/>
    </xf>
    <xf numFmtId="44" fontId="37" fillId="0" borderId="41" xfId="0" applyNumberFormat="1" applyFont="1" applyBorder="1" applyAlignment="1" applyProtection="1"/>
    <xf numFmtId="164" fontId="26" fillId="0" borderId="38" xfId="0" applyNumberFormat="1" applyFont="1" applyFill="1" applyBorder="1" applyAlignment="1" applyProtection="1">
      <alignment shrinkToFit="1"/>
      <protection locked="0"/>
    </xf>
    <xf numFmtId="0" fontId="26" fillId="0" borderId="38" xfId="0" applyFont="1" applyFill="1" applyBorder="1" applyAlignment="1" applyProtection="1">
      <alignment shrinkToFit="1"/>
      <protection locked="0"/>
    </xf>
    <xf numFmtId="0" fontId="37" fillId="0" borderId="0" xfId="0" applyFont="1" applyFill="1" applyBorder="1" applyAlignment="1" applyProtection="1">
      <alignment horizontal="right"/>
    </xf>
    <xf numFmtId="14" fontId="37" fillId="0" borderId="0" xfId="0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right"/>
    </xf>
    <xf numFmtId="168" fontId="37" fillId="0" borderId="0" xfId="0" applyNumberFormat="1" applyFont="1" applyBorder="1" applyAlignment="1" applyProtection="1">
      <alignment horizontal="left"/>
      <protection locked="0"/>
    </xf>
    <xf numFmtId="0" fontId="37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horizontal="right"/>
    </xf>
    <xf numFmtId="49" fontId="14" fillId="0" borderId="0" xfId="0" applyNumberFormat="1" applyFont="1" applyBorder="1" applyProtection="1">
      <protection locked="0"/>
    </xf>
    <xf numFmtId="0" fontId="14" fillId="0" borderId="0" xfId="0" applyFont="1" applyProtection="1"/>
    <xf numFmtId="0" fontId="58" fillId="0" borderId="0" xfId="0" applyFont="1" applyBorder="1" applyProtection="1"/>
    <xf numFmtId="0" fontId="58" fillId="0" borderId="0" xfId="0" applyFont="1" applyProtection="1"/>
    <xf numFmtId="0" fontId="59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shrinkToFit="1"/>
    </xf>
    <xf numFmtId="0" fontId="37" fillId="0" borderId="0" xfId="0" applyFont="1" applyAlignment="1" applyProtection="1">
      <alignment horizontal="right" vertical="top"/>
    </xf>
    <xf numFmtId="0" fontId="37" fillId="0" borderId="0" xfId="0" applyFont="1" applyAlignment="1" applyProtection="1">
      <alignment horizontal="right" vertical="top"/>
    </xf>
    <xf numFmtId="0" fontId="37" fillId="0" borderId="0" xfId="0" applyFont="1" applyAlignment="1" applyProtection="1">
      <alignment horizontal="right" vertical="top" wrapText="1"/>
    </xf>
    <xf numFmtId="49" fontId="3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9" fontId="14" fillId="0" borderId="0" xfId="0" applyNumberFormat="1" applyFont="1" applyFill="1" applyBorder="1" applyProtection="1">
      <protection locked="0"/>
    </xf>
    <xf numFmtId="168" fontId="14" fillId="0" borderId="0" xfId="0" applyNumberFormat="1" applyFont="1" applyBorder="1" applyAlignment="1" applyProtection="1">
      <alignment horizontal="left"/>
      <protection locked="0"/>
    </xf>
    <xf numFmtId="167" fontId="5" fillId="0" borderId="0" xfId="1" applyNumberForma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left" vertical="top" wrapText="1"/>
    </xf>
    <xf numFmtId="0" fontId="59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right" vertical="top" wrapText="1"/>
    </xf>
    <xf numFmtId="0" fontId="37" fillId="0" borderId="0" xfId="0" applyFont="1" applyAlignment="1" applyProtection="1">
      <alignment horizontal="right" vertical="top"/>
    </xf>
    <xf numFmtId="0" fontId="58" fillId="0" borderId="0" xfId="0" applyFont="1" applyAlignment="1" applyProtection="1">
      <alignment horizontal="center"/>
      <protection locked="0"/>
    </xf>
    <xf numFmtId="0" fontId="39" fillId="8" borderId="0" xfId="0" applyFont="1" applyFill="1" applyAlignment="1" applyProtection="1">
      <alignment horizontal="center" vertical="center" wrapText="1"/>
    </xf>
    <xf numFmtId="44" fontId="37" fillId="0" borderId="44" xfId="0" applyNumberFormat="1" applyFont="1" applyBorder="1" applyAlignment="1" applyProtection="1">
      <alignment horizontal="center" vertical="center"/>
    </xf>
    <xf numFmtId="44" fontId="37" fillId="0" borderId="45" xfId="0" applyNumberFormat="1" applyFont="1" applyBorder="1" applyAlignment="1" applyProtection="1">
      <alignment horizontal="center" vertical="center"/>
    </xf>
    <xf numFmtId="44" fontId="37" fillId="0" borderId="41" xfId="0" applyNumberFormat="1" applyFont="1" applyBorder="1" applyAlignment="1" applyProtection="1">
      <alignment horizontal="center" vertical="center"/>
    </xf>
    <xf numFmtId="44" fontId="37" fillId="0" borderId="46" xfId="0" applyNumberFormat="1" applyFont="1" applyBorder="1" applyAlignment="1" applyProtection="1">
      <alignment horizontal="center" vertical="center"/>
    </xf>
    <xf numFmtId="0" fontId="39" fillId="8" borderId="61" xfId="0" applyFont="1" applyFill="1" applyBorder="1" applyAlignment="1" applyProtection="1">
      <alignment horizontal="center" vertical="center"/>
    </xf>
    <xf numFmtId="0" fontId="39" fillId="8" borderId="62" xfId="0" applyFont="1" applyFill="1" applyBorder="1" applyAlignment="1" applyProtection="1">
      <alignment horizontal="center" vertical="center"/>
    </xf>
    <xf numFmtId="44" fontId="37" fillId="0" borderId="40" xfId="0" applyNumberFormat="1" applyFont="1" applyBorder="1" applyAlignment="1" applyProtection="1">
      <alignment horizontal="center"/>
    </xf>
    <xf numFmtId="44" fontId="37" fillId="0" borderId="47" xfId="0" applyNumberFormat="1" applyFont="1" applyBorder="1" applyAlignment="1" applyProtection="1">
      <alignment horizontal="center"/>
    </xf>
    <xf numFmtId="0" fontId="46" fillId="5" borderId="19" xfId="0" applyFont="1" applyFill="1" applyBorder="1" applyAlignment="1" applyProtection="1">
      <alignment horizontal="center" shrinkToFit="1"/>
    </xf>
    <xf numFmtId="0" fontId="46" fillId="5" borderId="20" xfId="0" applyFont="1" applyFill="1" applyBorder="1" applyAlignment="1" applyProtection="1">
      <alignment horizontal="center" shrinkToFit="1"/>
    </xf>
    <xf numFmtId="0" fontId="46" fillId="5" borderId="63" xfId="0" applyFont="1" applyFill="1" applyBorder="1" applyAlignment="1" applyProtection="1">
      <alignment horizontal="center" shrinkToFit="1"/>
    </xf>
    <xf numFmtId="0" fontId="30" fillId="0" borderId="0" xfId="0" applyFont="1" applyFill="1" applyAlignment="1" applyProtection="1">
      <alignment horizontal="left" wrapText="1"/>
    </xf>
    <xf numFmtId="0" fontId="48" fillId="5" borderId="4" xfId="0" applyFont="1" applyFill="1" applyBorder="1" applyAlignment="1" applyProtection="1">
      <alignment horizontal="center" vertical="top"/>
    </xf>
    <xf numFmtId="167" fontId="14" fillId="0" borderId="0" xfId="0" applyNumberFormat="1" applyFont="1" applyAlignment="1" applyProtection="1">
      <alignment horizontal="center"/>
      <protection locked="0"/>
    </xf>
    <xf numFmtId="0" fontId="30" fillId="0" borderId="43" xfId="1" applyFont="1" applyBorder="1" applyAlignment="1" applyProtection="1">
      <alignment horizontal="center"/>
    </xf>
    <xf numFmtId="0" fontId="49" fillId="5" borderId="4" xfId="0" applyFont="1" applyFill="1" applyBorder="1" applyAlignment="1" applyProtection="1">
      <alignment horizontal="center"/>
      <protection locked="0"/>
    </xf>
    <xf numFmtId="0" fontId="31" fillId="5" borderId="4" xfId="0" applyFont="1" applyFill="1" applyBorder="1" applyAlignment="1" applyProtection="1">
      <alignment horizontal="center"/>
      <protection locked="0"/>
    </xf>
    <xf numFmtId="0" fontId="39" fillId="8" borderId="0" xfId="0" applyFont="1" applyFill="1" applyAlignment="1" applyProtection="1">
      <alignment horizontal="center" vertical="center"/>
    </xf>
    <xf numFmtId="0" fontId="57" fillId="5" borderId="0" xfId="0" applyFont="1" applyFill="1" applyBorder="1" applyAlignment="1" applyProtection="1">
      <alignment horizontal="center" vertical="center" shrinkToFit="1"/>
    </xf>
    <xf numFmtId="0" fontId="39" fillId="8" borderId="40" xfId="0" applyFont="1" applyFill="1" applyBorder="1" applyAlignment="1">
      <alignment horizontal="center" vertical="center"/>
    </xf>
    <xf numFmtId="0" fontId="39" fillId="8" borderId="47" xfId="0" applyFont="1" applyFill="1" applyBorder="1" applyAlignment="1">
      <alignment horizontal="center" vertical="center"/>
    </xf>
    <xf numFmtId="44" fontId="37" fillId="0" borderId="40" xfId="0" applyNumberFormat="1" applyFont="1" applyBorder="1" applyAlignment="1">
      <alignment horizontal="center"/>
    </xf>
    <xf numFmtId="44" fontId="37" fillId="0" borderId="47" xfId="0" applyNumberFormat="1" applyFont="1" applyBorder="1" applyAlignment="1">
      <alignment horizontal="center"/>
    </xf>
    <xf numFmtId="164" fontId="37" fillId="0" borderId="44" xfId="0" applyNumberFormat="1" applyFont="1" applyBorder="1" applyAlignment="1">
      <alignment horizontal="center" vertical="center"/>
    </xf>
    <xf numFmtId="164" fontId="37" fillId="0" borderId="45" xfId="0" applyNumberFormat="1" applyFont="1" applyBorder="1" applyAlignment="1">
      <alignment horizontal="center" vertical="center"/>
    </xf>
    <xf numFmtId="164" fontId="37" fillId="0" borderId="41" xfId="0" applyNumberFormat="1" applyFont="1" applyBorder="1" applyAlignment="1">
      <alignment horizontal="center" vertical="center"/>
    </xf>
    <xf numFmtId="164" fontId="37" fillId="0" borderId="46" xfId="0" applyNumberFormat="1" applyFont="1" applyBorder="1" applyAlignment="1">
      <alignment horizontal="center" vertical="center"/>
    </xf>
    <xf numFmtId="0" fontId="48" fillId="5" borderId="0" xfId="0" applyFont="1" applyFill="1" applyBorder="1" applyAlignment="1" applyProtection="1">
      <alignment horizontal="center" vertical="top"/>
    </xf>
    <xf numFmtId="0" fontId="34" fillId="0" borderId="37" xfId="0" applyFont="1" applyBorder="1" applyAlignment="1" applyProtection="1">
      <alignment horizontal="center" vertical="center" wrapText="1"/>
      <protection locked="0"/>
    </xf>
    <xf numFmtId="0" fontId="34" fillId="0" borderId="48" xfId="0" applyFont="1" applyBorder="1" applyAlignment="1" applyProtection="1">
      <alignment horizontal="center" vertical="center" wrapText="1"/>
      <protection locked="0"/>
    </xf>
    <xf numFmtId="0" fontId="56" fillId="8" borderId="0" xfId="0" applyFont="1" applyFill="1" applyAlignment="1" applyProtection="1">
      <alignment horizontal="center" vertical="center"/>
    </xf>
    <xf numFmtId="0" fontId="26" fillId="0" borderId="20" xfId="0" applyFont="1" applyBorder="1" applyAlignment="1" applyProtection="1">
      <alignment horizontal="left"/>
      <protection locked="0"/>
    </xf>
    <xf numFmtId="171" fontId="18" fillId="0" borderId="0" xfId="0" applyNumberFormat="1" applyFont="1" applyAlignment="1" applyProtection="1">
      <alignment horizontal="center" shrinkToFit="1"/>
    </xf>
    <xf numFmtId="0" fontId="57" fillId="5" borderId="0" xfId="0" applyFont="1" applyFill="1" applyBorder="1" applyAlignment="1" applyProtection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8" fillId="0" borderId="57" xfId="2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0" fontId="8" fillId="0" borderId="58" xfId="2" applyFont="1" applyBorder="1" applyAlignment="1">
      <alignment horizontal="center"/>
    </xf>
    <xf numFmtId="0" fontId="8" fillId="0" borderId="49" xfId="2" applyFont="1" applyBorder="1" applyAlignment="1">
      <alignment horizontal="center"/>
    </xf>
    <xf numFmtId="0" fontId="8" fillId="0" borderId="50" xfId="2" applyFont="1" applyBorder="1" applyAlignment="1">
      <alignment horizontal="center"/>
    </xf>
    <xf numFmtId="0" fontId="8" fillId="0" borderId="53" xfId="2" applyFont="1" applyBorder="1" applyAlignment="1">
      <alignment horizontal="center"/>
    </xf>
    <xf numFmtId="0" fontId="8" fillId="0" borderId="52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54" xfId="2" applyFont="1" applyBorder="1" applyAlignment="1">
      <alignment horizontal="center"/>
    </xf>
    <xf numFmtId="0" fontId="13" fillId="6" borderId="17" xfId="2" applyFont="1" applyFill="1" applyBorder="1" applyAlignment="1">
      <alignment horizontal="center" vertical="center"/>
    </xf>
    <xf numFmtId="0" fontId="13" fillId="6" borderId="33" xfId="2" applyFont="1" applyFill="1" applyBorder="1" applyAlignment="1">
      <alignment horizontal="center" vertical="center"/>
    </xf>
    <xf numFmtId="0" fontId="13" fillId="6" borderId="34" xfId="2" applyFont="1" applyFill="1" applyBorder="1" applyAlignment="1">
      <alignment horizontal="center" vertical="center"/>
    </xf>
    <xf numFmtId="0" fontId="8" fillId="0" borderId="28" xfId="2" applyFont="1" applyBorder="1" applyAlignment="1">
      <alignment horizontal="center"/>
    </xf>
    <xf numFmtId="0" fontId="8" fillId="0" borderId="29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13" fillId="6" borderId="17" xfId="2" applyFont="1" applyFill="1" applyBorder="1" applyAlignment="1">
      <alignment horizontal="center"/>
    </xf>
    <xf numFmtId="0" fontId="13" fillId="6" borderId="24" xfId="2" applyFont="1" applyFill="1" applyBorder="1" applyAlignment="1">
      <alignment horizontal="center"/>
    </xf>
    <xf numFmtId="0" fontId="13" fillId="6" borderId="33" xfId="2" applyFont="1" applyFill="1" applyBorder="1" applyAlignment="1">
      <alignment horizontal="center"/>
    </xf>
    <xf numFmtId="0" fontId="8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/>
    </xf>
    <xf numFmtId="0" fontId="8" fillId="0" borderId="43" xfId="2" applyFont="1" applyBorder="1" applyAlignment="1">
      <alignment horizontal="center"/>
    </xf>
    <xf numFmtId="0" fontId="8" fillId="0" borderId="56" xfId="2" applyFont="1" applyBorder="1" applyAlignment="1">
      <alignment horizontal="center"/>
    </xf>
    <xf numFmtId="0" fontId="8" fillId="0" borderId="27" xfId="2" applyFont="1" applyBorder="1" applyAlignment="1">
      <alignment horizontal="center"/>
    </xf>
    <xf numFmtId="0" fontId="11" fillId="9" borderId="49" xfId="2" applyFont="1" applyFill="1" applyBorder="1" applyAlignment="1">
      <alignment horizontal="center" vertical="center"/>
    </xf>
    <xf numFmtId="0" fontId="11" fillId="9" borderId="50" xfId="2" applyFont="1" applyFill="1" applyBorder="1" applyAlignment="1">
      <alignment horizontal="center" vertical="center"/>
    </xf>
    <xf numFmtId="0" fontId="11" fillId="9" borderId="22" xfId="2" applyFont="1" applyFill="1" applyBorder="1" applyAlignment="1">
      <alignment horizontal="center" vertical="center"/>
    </xf>
    <xf numFmtId="0" fontId="11" fillId="9" borderId="24" xfId="2" applyFont="1" applyFill="1" applyBorder="1" applyAlignment="1">
      <alignment horizontal="center" vertical="center"/>
    </xf>
    <xf numFmtId="0" fontId="2" fillId="5" borderId="33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left" vertical="top"/>
    </xf>
    <xf numFmtId="0" fontId="2" fillId="5" borderId="51" xfId="2" applyFont="1" applyFill="1" applyBorder="1" applyAlignment="1">
      <alignment horizontal="left" vertical="top"/>
    </xf>
    <xf numFmtId="0" fontId="2" fillId="5" borderId="14" xfId="2" applyFont="1" applyFill="1" applyBorder="1" applyAlignment="1">
      <alignment horizontal="left" vertical="top"/>
    </xf>
    <xf numFmtId="166" fontId="17" fillId="5" borderId="28" xfId="2" applyNumberFormat="1" applyFont="1" applyFill="1" applyBorder="1" applyAlignment="1">
      <alignment horizontal="center" vertical="center"/>
    </xf>
    <xf numFmtId="0" fontId="14" fillId="5" borderId="43" xfId="2" applyFont="1" applyFill="1" applyBorder="1" applyAlignment="1">
      <alignment horizontal="center" vertical="center"/>
    </xf>
    <xf numFmtId="0" fontId="14" fillId="5" borderId="19" xfId="2" applyFont="1" applyFill="1" applyBorder="1" applyAlignment="1">
      <alignment horizontal="center" vertical="center"/>
    </xf>
    <xf numFmtId="0" fontId="14" fillId="5" borderId="20" xfId="2" applyFont="1" applyFill="1" applyBorder="1" applyAlignment="1">
      <alignment horizontal="center" vertical="center"/>
    </xf>
    <xf numFmtId="0" fontId="51" fillId="7" borderId="0" xfId="0" applyFont="1" applyFill="1" applyAlignment="1" applyProtection="1"/>
    <xf numFmtId="169" fontId="51" fillId="7" borderId="0" xfId="0" applyNumberFormat="1" applyFont="1" applyFill="1" applyAlignment="1" applyProtection="1"/>
    <xf numFmtId="0" fontId="52" fillId="7" borderId="0" xfId="0" applyFont="1" applyFill="1" applyProtection="1"/>
    <xf numFmtId="0" fontId="39" fillId="7" borderId="0" xfId="0" applyFont="1" applyFill="1" applyAlignment="1" applyProtection="1">
      <alignment horizontal="center" vertical="center" wrapText="1"/>
    </xf>
    <xf numFmtId="0" fontId="39" fillId="8" borderId="0" xfId="0" applyFont="1" applyFill="1" applyAlignment="1" applyProtection="1">
      <alignment horizontal="right" vertical="center"/>
    </xf>
    <xf numFmtId="0" fontId="56" fillId="8" borderId="0" xfId="0" applyFont="1" applyFill="1" applyAlignment="1" applyProtection="1">
      <alignment horizontal="centerContinuous" vertical="center"/>
    </xf>
    <xf numFmtId="0" fontId="62" fillId="5" borderId="0" xfId="0" applyFont="1" applyFill="1" applyBorder="1" applyAlignment="1" applyProtection="1">
      <alignment vertical="center"/>
    </xf>
    <xf numFmtId="0" fontId="63" fillId="0" borderId="0" xfId="0" applyFont="1" applyAlignment="1">
      <alignment vertical="center"/>
    </xf>
    <xf numFmtId="0" fontId="64" fillId="0" borderId="0" xfId="1" applyFont="1" applyBorder="1" applyAlignment="1" applyProtection="1">
      <alignment horizontal="center" vertical="center" shrinkToFit="1"/>
      <protection locked="0"/>
    </xf>
    <xf numFmtId="0" fontId="64" fillId="0" borderId="0" xfId="1" applyFont="1" applyBorder="1" applyAlignment="1" applyProtection="1">
      <alignment horizontal="left" vertical="center" shrinkToFit="1"/>
      <protection locked="0"/>
    </xf>
  </cellXfs>
  <cellStyles count="3">
    <cellStyle name="Lien hypertexte" xfId="1" builtinId="8"/>
    <cellStyle name="Normal" xfId="0" builtinId="0"/>
    <cellStyle name="Normal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4629785</xdr:colOff>
      <xdr:row>65</xdr:row>
      <xdr:rowOff>1</xdr:rowOff>
    </xdr:from>
    <xdr:to>
      <xdr:col>6</xdr:col>
      <xdr:colOff>355081</xdr:colOff>
      <xdr:row>74</xdr:row>
      <xdr:rowOff>0</xdr:rowOff>
    </xdr:to>
    <xdr:sp macro="" textlink="">
      <xdr:nvSpPr>
        <xdr:cNvPr id="4" name="Text Box 85"/>
        <xdr:cNvSpPr txBox="1">
          <a:spLocks noChangeArrowheads="1"/>
        </xdr:cNvSpPr>
      </xdr:nvSpPr>
      <xdr:spPr bwMode="auto">
        <a:xfrm>
          <a:off x="7843174" y="21017346"/>
          <a:ext cx="6126480" cy="20920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Signature et tampon du service payeur</a:t>
          </a:r>
        </a:p>
      </xdr:txBody>
    </xdr:sp>
    <xdr:clientData/>
  </xdr:twoCellAnchor>
  <xdr:twoCellAnchor>
    <xdr:from>
      <xdr:col>0</xdr:col>
      <xdr:colOff>28575</xdr:colOff>
      <xdr:row>65</xdr:row>
      <xdr:rowOff>18184</xdr:rowOff>
    </xdr:from>
    <xdr:to>
      <xdr:col>1</xdr:col>
      <xdr:colOff>1952000</xdr:colOff>
      <xdr:row>70</xdr:row>
      <xdr:rowOff>83157</xdr:rowOff>
    </xdr:to>
    <xdr:sp macro="" textlink="">
      <xdr:nvSpPr>
        <xdr:cNvPr id="6" name="Text Box 128"/>
        <xdr:cNvSpPr txBox="1">
          <a:spLocks noChangeArrowheads="1"/>
        </xdr:cNvSpPr>
      </xdr:nvSpPr>
      <xdr:spPr bwMode="auto">
        <a:xfrm>
          <a:off x="28575" y="20227636"/>
          <a:ext cx="5060658" cy="14270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AURI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Association des Usagers du Restaurant Interministériel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 et 5, rue Barbet de Jouy   -  75007 PARIS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URSAFF : PARIS 117 000 001500 258 848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SIRET : 784 295 115 00033 APE : 5629 B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IBAN FR76 1820 6000 0400 4909 9300 135  BIC  AGRIFRPP882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3</xdr:row>
      <xdr:rowOff>167986</xdr:rowOff>
    </xdr:to>
    <xdr:pic>
      <xdr:nvPicPr>
        <xdr:cNvPr id="1054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1581150</xdr:colOff>
      <xdr:row>0</xdr:row>
      <xdr:rowOff>85725</xdr:rowOff>
    </xdr:from>
    <xdr:to>
      <xdr:col>1</xdr:col>
      <xdr:colOff>942975</xdr:colOff>
      <xdr:row>7</xdr:row>
      <xdr:rowOff>271029</xdr:rowOff>
    </xdr:to>
    <xdr:pic>
      <xdr:nvPicPr>
        <xdr:cNvPr id="10542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85725"/>
          <a:ext cx="2362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1615786</xdr:colOff>
      <xdr:row>1</xdr:row>
      <xdr:rowOff>328180</xdr:rowOff>
    </xdr:from>
    <xdr:to>
      <xdr:col>1</xdr:col>
      <xdr:colOff>977611</xdr:colOff>
      <xdr:row>7</xdr:row>
      <xdr:rowOff>80530</xdr:rowOff>
    </xdr:to>
    <xdr:pic>
      <xdr:nvPicPr>
        <xdr:cNvPr id="16426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786" y="726498"/>
          <a:ext cx="2357870" cy="2142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871740</xdr:colOff>
      <xdr:row>65</xdr:row>
      <xdr:rowOff>34637</xdr:rowOff>
    </xdr:from>
    <xdr:to>
      <xdr:col>6</xdr:col>
      <xdr:colOff>2017627</xdr:colOff>
      <xdr:row>72</xdr:row>
      <xdr:rowOff>0</xdr:rowOff>
    </xdr:to>
    <xdr:sp macro="" textlink="">
      <xdr:nvSpPr>
        <xdr:cNvPr id="2" name="Text Box 85"/>
        <xdr:cNvSpPr txBox="1">
          <a:spLocks noChangeArrowheads="1"/>
        </xdr:cNvSpPr>
      </xdr:nvSpPr>
      <xdr:spPr bwMode="auto">
        <a:xfrm>
          <a:off x="9288376" y="20851092"/>
          <a:ext cx="5406160" cy="1991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Margo HARLEY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DIirectrice  Générale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66</xdr:row>
      <xdr:rowOff>18184</xdr:rowOff>
    </xdr:from>
    <xdr:to>
      <xdr:col>1</xdr:col>
      <xdr:colOff>1952000</xdr:colOff>
      <xdr:row>71</xdr:row>
      <xdr:rowOff>83157</xdr:rowOff>
    </xdr:to>
    <xdr:sp macro="" textlink="">
      <xdr:nvSpPr>
        <xdr:cNvPr id="3" name="Text Box 128"/>
        <xdr:cNvSpPr txBox="1">
          <a:spLocks noChangeArrowheads="1"/>
        </xdr:cNvSpPr>
      </xdr:nvSpPr>
      <xdr:spPr bwMode="auto">
        <a:xfrm>
          <a:off x="28575" y="21569449"/>
          <a:ext cx="5057194" cy="14193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AURI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Association des Usagers du Restaurant Interministériel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 et 5, rue Barbet de Jouy   -  75007 PARIS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URSAFF : PARIS 117 000 001500 258 848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SIRET : 784 295 115 00033 APE : 5629 B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IBAN FR76 1820 6000 0400 4909 9300 135  BIC  AGRIFRPP882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306532</xdr:rowOff>
    </xdr:to>
    <xdr:pic>
      <xdr:nvPicPr>
        <xdr:cNvPr id="16425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03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trand/AppData/Local/Microsoft/Windows/INetCache/Content.Outlook/O8OKNCA0/B28072017-DG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s"/>
      <sheetName val="Facture"/>
      <sheetName val="PATISS"/>
      <sheetName val="BON PREPA"/>
      <sheetName val="Feuil1"/>
    </sheetNames>
    <sheetDataSet>
      <sheetData sheetId="0">
        <row r="18">
          <cell r="B18">
            <v>42944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U74"/>
  <sheetViews>
    <sheetView topLeftCell="J8" workbookViewId="0">
      <selection activeCell="O16" sqref="O16"/>
    </sheetView>
  </sheetViews>
  <sheetFormatPr baseColWidth="10" defaultRowHeight="12.75"/>
  <cols>
    <col min="1" max="1" width="53.28515625" bestFit="1" customWidth="1"/>
    <col min="2" max="2" width="53.28515625" customWidth="1"/>
    <col min="3" max="3" width="51.140625" bestFit="1" customWidth="1"/>
    <col min="4" max="4" width="38" customWidth="1"/>
    <col min="5" max="5" width="32.85546875" customWidth="1"/>
    <col min="6" max="6" width="32.7109375" customWidth="1"/>
    <col min="7" max="7" width="31" customWidth="1"/>
    <col min="8" max="8" width="33.28515625" customWidth="1"/>
    <col min="9" max="9" width="29.85546875" customWidth="1"/>
    <col min="10" max="10" width="28.5703125" bestFit="1" customWidth="1"/>
    <col min="11" max="11" width="27.5703125" bestFit="1" customWidth="1"/>
    <col min="12" max="12" width="53.28515625" customWidth="1"/>
    <col min="13" max="13" width="47.42578125" bestFit="1" customWidth="1"/>
    <col min="14" max="15" width="27.5703125" customWidth="1"/>
    <col min="16" max="16" width="8.7109375" bestFit="1" customWidth="1"/>
    <col min="17" max="17" width="53.28515625" bestFit="1" customWidth="1"/>
    <col min="18" max="19" width="11.42578125" style="29" customWidth="1"/>
    <col min="21" max="21" width="11.42578125" style="29" customWidth="1"/>
  </cols>
  <sheetData>
    <row r="1" spans="1:21">
      <c r="A1" s="6"/>
      <c r="B1" s="6" t="s">
        <v>199</v>
      </c>
      <c r="C1" s="6" t="s">
        <v>193</v>
      </c>
      <c r="D1" s="6" t="s">
        <v>44</v>
      </c>
      <c r="E1" s="6" t="s">
        <v>66</v>
      </c>
      <c r="F1" s="6" t="s">
        <v>74</v>
      </c>
      <c r="G1" s="6" t="s">
        <v>58</v>
      </c>
      <c r="H1" s="6" t="s">
        <v>61</v>
      </c>
      <c r="I1" s="6" t="s">
        <v>22</v>
      </c>
      <c r="J1" s="6" t="s">
        <v>23</v>
      </c>
      <c r="Q1" s="75"/>
      <c r="R1" s="76" t="s">
        <v>80</v>
      </c>
      <c r="S1" s="76" t="s">
        <v>91</v>
      </c>
      <c r="T1" s="77" t="s">
        <v>81</v>
      </c>
      <c r="U1" s="78" t="s">
        <v>82</v>
      </c>
    </row>
    <row r="2" spans="1:21" ht="13.5" thickBot="1">
      <c r="A2" s="3"/>
      <c r="B2" s="2" t="s">
        <v>195</v>
      </c>
      <c r="C2" s="2" t="s">
        <v>195</v>
      </c>
      <c r="D2" s="2" t="s">
        <v>195</v>
      </c>
      <c r="E2" s="2" t="s">
        <v>195</v>
      </c>
      <c r="F2" s="2" t="s">
        <v>195</v>
      </c>
      <c r="G2" s="2" t="s">
        <v>195</v>
      </c>
      <c r="H2" s="2" t="s">
        <v>195</v>
      </c>
      <c r="I2" s="2" t="s">
        <v>195</v>
      </c>
      <c r="J2" s="2" t="s">
        <v>195</v>
      </c>
      <c r="K2" s="3"/>
      <c r="L2" s="3"/>
      <c r="M2" s="3"/>
      <c r="N2" s="3"/>
      <c r="Q2" s="2" t="s">
        <v>37</v>
      </c>
      <c r="R2" s="79">
        <v>35</v>
      </c>
      <c r="S2" s="80">
        <v>2</v>
      </c>
      <c r="T2" s="81">
        <v>0.2</v>
      </c>
      <c r="U2" s="82">
        <f>+R2*(1+T2)</f>
        <v>42</v>
      </c>
    </row>
    <row r="3" spans="1:21" ht="13.5" thickBot="1">
      <c r="A3" s="3"/>
      <c r="B3" s="196" t="s">
        <v>200</v>
      </c>
      <c r="C3" s="3" t="s">
        <v>43</v>
      </c>
      <c r="D3" s="3" t="s">
        <v>45</v>
      </c>
      <c r="E3" s="3" t="s">
        <v>68</v>
      </c>
      <c r="F3" s="1" t="s">
        <v>95</v>
      </c>
      <c r="G3" s="1" t="s">
        <v>197</v>
      </c>
      <c r="H3" s="1" t="s">
        <v>92</v>
      </c>
      <c r="I3" s="3" t="s">
        <v>105</v>
      </c>
      <c r="J3" s="1" t="s">
        <v>78</v>
      </c>
      <c r="Q3" s="2" t="s">
        <v>38</v>
      </c>
      <c r="R3" s="79">
        <v>70</v>
      </c>
      <c r="S3" s="80">
        <v>2</v>
      </c>
      <c r="T3" s="81">
        <v>0.2</v>
      </c>
      <c r="U3" s="82">
        <f t="shared" ref="U3:U73" si="0">+R3*(1+T3)</f>
        <v>84</v>
      </c>
    </row>
    <row r="4" spans="1:21" ht="13.5" thickBot="1">
      <c r="A4" s="3"/>
      <c r="B4" s="196" t="s">
        <v>201</v>
      </c>
      <c r="C4" s="3" t="s">
        <v>42</v>
      </c>
      <c r="D4" s="3" t="s">
        <v>46</v>
      </c>
      <c r="E4" s="3" t="s">
        <v>69</v>
      </c>
      <c r="F4" s="1" t="s">
        <v>96</v>
      </c>
      <c r="G4" s="1" t="s">
        <v>202</v>
      </c>
      <c r="H4" s="35" t="s">
        <v>93</v>
      </c>
      <c r="I4" s="20" t="s">
        <v>106</v>
      </c>
      <c r="J4" s="3" t="s">
        <v>79</v>
      </c>
      <c r="Q4" s="2" t="s">
        <v>40</v>
      </c>
      <c r="R4" s="79">
        <v>35</v>
      </c>
      <c r="S4" s="80">
        <v>2</v>
      </c>
      <c r="T4" s="81">
        <v>0.2</v>
      </c>
      <c r="U4" s="82">
        <f t="shared" si="0"/>
        <v>42</v>
      </c>
    </row>
    <row r="5" spans="1:21" ht="13.5" thickBot="1">
      <c r="A5" s="3"/>
      <c r="B5" s="15"/>
      <c r="C5" s="15"/>
      <c r="D5" s="3" t="s">
        <v>111</v>
      </c>
      <c r="E5" s="3" t="s">
        <v>70</v>
      </c>
      <c r="F5" s="1" t="s">
        <v>97</v>
      </c>
      <c r="G5" s="3"/>
      <c r="H5" s="3" t="s">
        <v>94</v>
      </c>
      <c r="I5" s="20" t="s">
        <v>107</v>
      </c>
      <c r="J5" s="3" t="s">
        <v>3</v>
      </c>
      <c r="Q5" s="2" t="s">
        <v>39</v>
      </c>
      <c r="R5" s="79">
        <v>48</v>
      </c>
      <c r="S5" s="80">
        <v>2</v>
      </c>
      <c r="T5" s="83">
        <v>0.2</v>
      </c>
      <c r="U5" s="82">
        <f t="shared" si="0"/>
        <v>57.599999999999994</v>
      </c>
    </row>
    <row r="6" spans="1:21" ht="37.5" customHeight="1" thickBot="1">
      <c r="C6" s="15"/>
      <c r="D6" s="3" t="s">
        <v>112</v>
      </c>
      <c r="E6" s="3" t="s">
        <v>67</v>
      </c>
      <c r="F6" s="1" t="s">
        <v>98</v>
      </c>
      <c r="G6" s="3"/>
      <c r="H6" s="3" t="s">
        <v>62</v>
      </c>
      <c r="I6" s="10" t="s">
        <v>110</v>
      </c>
      <c r="J6" s="3"/>
      <c r="Q6" s="2" t="s">
        <v>41</v>
      </c>
      <c r="R6" s="79">
        <v>0</v>
      </c>
      <c r="S6" s="80">
        <v>0</v>
      </c>
      <c r="T6" s="83">
        <v>0</v>
      </c>
      <c r="U6" s="82">
        <f t="shared" si="0"/>
        <v>0</v>
      </c>
    </row>
    <row r="7" spans="1:21" ht="39" customHeight="1" thickBot="1">
      <c r="C7" s="10"/>
      <c r="D7" s="10" t="s">
        <v>114</v>
      </c>
      <c r="E7" s="3" t="s">
        <v>71</v>
      </c>
      <c r="F7" s="1" t="s">
        <v>99</v>
      </c>
      <c r="G7" s="3"/>
      <c r="H7" s="26" t="s">
        <v>73</v>
      </c>
      <c r="I7" s="3" t="s">
        <v>109</v>
      </c>
      <c r="J7" s="3"/>
      <c r="M7" s="5"/>
      <c r="Q7" s="196" t="s">
        <v>200</v>
      </c>
      <c r="R7" s="79">
        <v>15</v>
      </c>
      <c r="S7" s="80">
        <v>1</v>
      </c>
      <c r="T7" s="83">
        <v>0.1</v>
      </c>
      <c r="U7" s="82">
        <f t="shared" si="0"/>
        <v>16.5</v>
      </c>
    </row>
    <row r="8" spans="1:21" ht="39" customHeight="1">
      <c r="C8" s="10"/>
      <c r="D8" s="10" t="s">
        <v>113</v>
      </c>
      <c r="E8" s="3" t="s">
        <v>72</v>
      </c>
      <c r="F8" s="1" t="s">
        <v>100</v>
      </c>
      <c r="G8" s="13"/>
      <c r="H8" s="31" t="s">
        <v>194</v>
      </c>
      <c r="I8" s="3" t="s">
        <v>108</v>
      </c>
      <c r="M8" s="10"/>
      <c r="Q8" s="196" t="s">
        <v>201</v>
      </c>
      <c r="R8" s="79">
        <v>15.5</v>
      </c>
      <c r="S8" s="80">
        <v>1</v>
      </c>
      <c r="T8" s="83">
        <v>0.1</v>
      </c>
      <c r="U8" s="82">
        <f t="shared" si="0"/>
        <v>17.05</v>
      </c>
    </row>
    <row r="9" spans="1:21">
      <c r="C9" s="5"/>
      <c r="D9" s="10" t="s">
        <v>115</v>
      </c>
      <c r="E9" s="25"/>
      <c r="F9" s="3" t="s">
        <v>101</v>
      </c>
      <c r="G9" s="5"/>
      <c r="I9" s="3" t="s">
        <v>14</v>
      </c>
      <c r="M9" s="10"/>
      <c r="Q9" s="2" t="s">
        <v>155</v>
      </c>
      <c r="R9" s="3">
        <v>0</v>
      </c>
      <c r="S9" s="3">
        <v>0</v>
      </c>
      <c r="T9" s="3">
        <v>0</v>
      </c>
      <c r="U9" s="84">
        <v>0</v>
      </c>
    </row>
    <row r="10" spans="1:21">
      <c r="C10" s="5"/>
      <c r="D10" s="10" t="s">
        <v>116</v>
      </c>
      <c r="E10" s="5"/>
      <c r="F10" s="3" t="s">
        <v>119</v>
      </c>
      <c r="G10" s="21"/>
      <c r="H10" s="24"/>
      <c r="I10" s="3"/>
      <c r="Q10" s="85" t="s">
        <v>157</v>
      </c>
      <c r="R10" s="86">
        <v>70</v>
      </c>
      <c r="S10" s="87">
        <v>2</v>
      </c>
      <c r="T10" s="83">
        <v>0.2</v>
      </c>
      <c r="U10" s="82">
        <f t="shared" si="0"/>
        <v>84</v>
      </c>
    </row>
    <row r="11" spans="1:21">
      <c r="C11" s="5"/>
      <c r="D11" s="10" t="s">
        <v>117</v>
      </c>
      <c r="E11" s="5"/>
      <c r="F11" s="3" t="s">
        <v>120</v>
      </c>
      <c r="G11" s="21"/>
      <c r="I11" s="3"/>
      <c r="Q11" s="2" t="s">
        <v>156</v>
      </c>
      <c r="R11" s="3">
        <v>70</v>
      </c>
      <c r="S11" s="3">
        <v>2</v>
      </c>
      <c r="T11" s="72">
        <v>0.2</v>
      </c>
      <c r="U11" s="82">
        <f t="shared" si="0"/>
        <v>84</v>
      </c>
    </row>
    <row r="12" spans="1:21">
      <c r="C12" s="10"/>
      <c r="D12" s="10" t="s">
        <v>118</v>
      </c>
      <c r="E12" s="19"/>
      <c r="F12" s="3" t="s">
        <v>102</v>
      </c>
      <c r="G12" s="21"/>
      <c r="I12" s="3"/>
      <c r="Q12" s="2" t="s">
        <v>159</v>
      </c>
      <c r="R12" s="3">
        <v>70</v>
      </c>
      <c r="S12" s="3">
        <v>2</v>
      </c>
      <c r="T12" s="72">
        <v>0.2</v>
      </c>
      <c r="U12" s="82">
        <f t="shared" si="0"/>
        <v>84</v>
      </c>
    </row>
    <row r="13" spans="1:21">
      <c r="C13" s="10"/>
      <c r="D13" s="17" t="s">
        <v>48</v>
      </c>
      <c r="E13" s="19"/>
      <c r="F13" s="3" t="s">
        <v>103</v>
      </c>
      <c r="I13" s="3"/>
      <c r="O13" s="22" t="s">
        <v>204</v>
      </c>
      <c r="Q13" s="2" t="s">
        <v>43</v>
      </c>
      <c r="R13" s="79">
        <v>1.6</v>
      </c>
      <c r="S13" s="80">
        <v>1</v>
      </c>
      <c r="T13" s="83">
        <v>0.1</v>
      </c>
      <c r="U13" s="82">
        <f t="shared" si="0"/>
        <v>1.7600000000000002</v>
      </c>
    </row>
    <row r="14" spans="1:21">
      <c r="C14" s="10"/>
      <c r="D14" s="10" t="s">
        <v>49</v>
      </c>
      <c r="E14" s="19"/>
      <c r="F14" s="3" t="s">
        <v>104</v>
      </c>
      <c r="I14" s="3"/>
      <c r="O14" s="22" t="s">
        <v>205</v>
      </c>
      <c r="Q14" s="2" t="s">
        <v>42</v>
      </c>
      <c r="R14" s="79">
        <v>4.2</v>
      </c>
      <c r="S14" s="80">
        <v>1</v>
      </c>
      <c r="T14" s="83">
        <v>0.1</v>
      </c>
      <c r="U14" s="82">
        <f t="shared" si="0"/>
        <v>4.620000000000001</v>
      </c>
    </row>
    <row r="15" spans="1:21">
      <c r="C15" s="10"/>
      <c r="D15" s="5" t="s">
        <v>50</v>
      </c>
      <c r="F15" s="3"/>
      <c r="I15" s="3"/>
      <c r="O15" s="220" t="s">
        <v>208</v>
      </c>
      <c r="Q15" s="2" t="s">
        <v>45</v>
      </c>
      <c r="R15" s="79">
        <f>48*0.99</f>
        <v>47.519999999999996</v>
      </c>
      <c r="S15" s="80">
        <v>1</v>
      </c>
      <c r="T15" s="83">
        <v>0.1</v>
      </c>
      <c r="U15" s="82">
        <f t="shared" si="0"/>
        <v>52.271999999999998</v>
      </c>
    </row>
    <row r="16" spans="1:21" ht="27" customHeight="1">
      <c r="C16" s="10"/>
      <c r="D16" s="5" t="s">
        <v>51</v>
      </c>
      <c r="H16" s="19"/>
      <c r="I16" s="25"/>
      <c r="O16" s="220" t="s">
        <v>207</v>
      </c>
      <c r="Q16" s="2" t="s">
        <v>46</v>
      </c>
      <c r="R16" s="79">
        <f>56*0.99</f>
        <v>55.44</v>
      </c>
      <c r="S16" s="80">
        <v>1</v>
      </c>
      <c r="T16" s="83">
        <v>0.1</v>
      </c>
      <c r="U16" s="82">
        <f t="shared" si="0"/>
        <v>60.984000000000002</v>
      </c>
    </row>
    <row r="17" spans="4:21">
      <c r="D17" s="5" t="s">
        <v>52</v>
      </c>
      <c r="F17" s="19"/>
      <c r="G17" s="21"/>
      <c r="H17" s="19"/>
      <c r="I17" s="5"/>
      <c r="Q17" s="2" t="s">
        <v>111</v>
      </c>
      <c r="R17" s="79">
        <v>1.1000000000000001</v>
      </c>
      <c r="S17" s="80">
        <v>1</v>
      </c>
      <c r="T17" s="83">
        <v>0.1</v>
      </c>
      <c r="U17" s="82">
        <f t="shared" si="0"/>
        <v>1.2100000000000002</v>
      </c>
    </row>
    <row r="18" spans="4:21">
      <c r="D18" s="10" t="s">
        <v>53</v>
      </c>
      <c r="F18" s="19"/>
      <c r="G18" s="21"/>
      <c r="I18" s="5"/>
      <c r="O18" s="22"/>
      <c r="Q18" s="2" t="s">
        <v>112</v>
      </c>
      <c r="R18" s="79"/>
      <c r="S18" s="80">
        <v>1</v>
      </c>
      <c r="T18" s="83">
        <v>0.1</v>
      </c>
      <c r="U18" s="82">
        <f t="shared" si="0"/>
        <v>0</v>
      </c>
    </row>
    <row r="19" spans="4:21">
      <c r="D19" s="10" t="s">
        <v>54</v>
      </c>
      <c r="G19" s="21"/>
      <c r="H19" s="19"/>
      <c r="I19" s="5"/>
      <c r="L19" s="6" t="s">
        <v>158</v>
      </c>
      <c r="M19" s="6" t="s">
        <v>85</v>
      </c>
      <c r="Q19" s="88" t="s">
        <v>114</v>
      </c>
      <c r="R19" s="79"/>
      <c r="S19" s="80">
        <v>1</v>
      </c>
      <c r="T19" s="83">
        <v>0.1</v>
      </c>
      <c r="U19" s="82">
        <f t="shared" si="0"/>
        <v>0</v>
      </c>
    </row>
    <row r="20" spans="4:21">
      <c r="D20" s="10" t="s">
        <v>57</v>
      </c>
      <c r="G20" s="5"/>
      <c r="H20" s="19"/>
      <c r="I20" s="5"/>
      <c r="L20" s="3"/>
      <c r="M20" s="3"/>
      <c r="Q20" s="88" t="s">
        <v>113</v>
      </c>
      <c r="R20" s="79"/>
      <c r="S20" s="80">
        <v>1</v>
      </c>
      <c r="T20" s="83">
        <v>0.1</v>
      </c>
      <c r="U20" s="82">
        <f t="shared" si="0"/>
        <v>0</v>
      </c>
    </row>
    <row r="21" spans="4:21">
      <c r="G21" s="5"/>
      <c r="I21" s="5"/>
      <c r="L21" s="3" t="s">
        <v>155</v>
      </c>
      <c r="M21" s="3" t="s">
        <v>37</v>
      </c>
      <c r="Q21" s="88" t="s">
        <v>115</v>
      </c>
      <c r="R21" s="79"/>
      <c r="S21" s="80">
        <v>1</v>
      </c>
      <c r="T21" s="83">
        <v>0.1</v>
      </c>
      <c r="U21" s="82">
        <f t="shared" si="0"/>
        <v>0</v>
      </c>
    </row>
    <row r="22" spans="4:21" ht="13.5" thickBot="1">
      <c r="G22" s="5"/>
      <c r="I22" s="5"/>
      <c r="L22" t="s">
        <v>157</v>
      </c>
      <c r="M22" s="3" t="s">
        <v>38</v>
      </c>
      <c r="Q22" s="88" t="s">
        <v>116</v>
      </c>
      <c r="R22" s="79">
        <v>0.7</v>
      </c>
      <c r="S22" s="80">
        <v>1</v>
      </c>
      <c r="T22" s="83">
        <v>0.1</v>
      </c>
      <c r="U22" s="82">
        <f t="shared" si="0"/>
        <v>0.77</v>
      </c>
    </row>
    <row r="23" spans="4:21" ht="13.5" thickBot="1">
      <c r="G23" s="14" t="s">
        <v>5</v>
      </c>
      <c r="I23" s="5"/>
      <c r="L23" s="3" t="s">
        <v>156</v>
      </c>
      <c r="M23" s="3" t="s">
        <v>40</v>
      </c>
      <c r="Q23" s="88" t="s">
        <v>117</v>
      </c>
      <c r="R23" s="79">
        <v>0.7</v>
      </c>
      <c r="S23" s="80">
        <v>1</v>
      </c>
      <c r="T23" s="83">
        <v>0.1</v>
      </c>
      <c r="U23" s="82">
        <f t="shared" si="0"/>
        <v>0.77</v>
      </c>
    </row>
    <row r="24" spans="4:21">
      <c r="G24" s="2" t="s">
        <v>213</v>
      </c>
      <c r="I24" s="5"/>
      <c r="L24" s="3" t="s">
        <v>159</v>
      </c>
      <c r="M24" s="3" t="s">
        <v>39</v>
      </c>
      <c r="Q24" s="88" t="s">
        <v>118</v>
      </c>
      <c r="R24" s="79">
        <v>0.7</v>
      </c>
      <c r="S24" s="80">
        <v>1</v>
      </c>
      <c r="T24" s="83">
        <v>0.1</v>
      </c>
      <c r="U24" s="82">
        <f t="shared" si="0"/>
        <v>0.77</v>
      </c>
    </row>
    <row r="25" spans="4:21">
      <c r="F25" s="5"/>
      <c r="G25" s="23" t="s">
        <v>192</v>
      </c>
      <c r="I25" s="5"/>
      <c r="M25" s="5" t="s">
        <v>41</v>
      </c>
      <c r="Q25" s="2" t="s">
        <v>47</v>
      </c>
      <c r="R25" s="79">
        <v>0.7</v>
      </c>
      <c r="S25" s="80">
        <v>1</v>
      </c>
      <c r="T25" s="83">
        <v>0.1</v>
      </c>
      <c r="U25" s="82">
        <f t="shared" si="0"/>
        <v>0.77</v>
      </c>
    </row>
    <row r="26" spans="4:21">
      <c r="F26" s="21"/>
      <c r="G26" s="23" t="s">
        <v>24</v>
      </c>
      <c r="I26" s="5"/>
      <c r="Q26" s="88" t="s">
        <v>48</v>
      </c>
      <c r="R26" s="79">
        <v>6</v>
      </c>
      <c r="S26" s="80">
        <v>1</v>
      </c>
      <c r="T26" s="83">
        <v>0.1</v>
      </c>
      <c r="U26" s="82">
        <f t="shared" si="0"/>
        <v>6.6000000000000005</v>
      </c>
    </row>
    <row r="27" spans="4:21">
      <c r="F27" s="21"/>
      <c r="G27" s="23" t="s">
        <v>25</v>
      </c>
      <c r="I27" s="5"/>
      <c r="Q27" s="88" t="s">
        <v>49</v>
      </c>
      <c r="R27" s="79">
        <v>26.4</v>
      </c>
      <c r="S27" s="80">
        <v>1</v>
      </c>
      <c r="T27" s="83">
        <v>0.1</v>
      </c>
      <c r="U27" s="82">
        <f t="shared" si="0"/>
        <v>29.04</v>
      </c>
    </row>
    <row r="28" spans="4:21">
      <c r="F28" s="21"/>
      <c r="G28" s="9" t="s">
        <v>26</v>
      </c>
      <c r="I28" s="5"/>
      <c r="Q28" s="2" t="s">
        <v>50</v>
      </c>
      <c r="R28" s="79">
        <v>17.55</v>
      </c>
      <c r="S28" s="80">
        <v>1</v>
      </c>
      <c r="T28" s="83">
        <v>0.1</v>
      </c>
      <c r="U28" s="82">
        <f t="shared" si="0"/>
        <v>19.305000000000003</v>
      </c>
    </row>
    <row r="29" spans="4:21">
      <c r="F29" s="5"/>
      <c r="G29" s="9" t="s">
        <v>27</v>
      </c>
      <c r="H29" s="5"/>
      <c r="I29" s="5"/>
      <c r="Q29" s="2" t="s">
        <v>51</v>
      </c>
      <c r="R29" s="79">
        <v>0.85</v>
      </c>
      <c r="S29" s="80">
        <v>1</v>
      </c>
      <c r="T29" s="83">
        <v>0.1</v>
      </c>
      <c r="U29" s="82">
        <f t="shared" si="0"/>
        <v>0.93500000000000005</v>
      </c>
    </row>
    <row r="30" spans="4:21">
      <c r="F30" s="5"/>
      <c r="G30" s="9" t="s">
        <v>28</v>
      </c>
      <c r="H30" s="5"/>
      <c r="I30" s="5"/>
      <c r="Q30" s="2" t="s">
        <v>83</v>
      </c>
      <c r="R30" s="79">
        <v>40</v>
      </c>
      <c r="S30" s="80">
        <v>1</v>
      </c>
      <c r="T30" s="83">
        <v>0.1</v>
      </c>
      <c r="U30" s="82">
        <f t="shared" si="0"/>
        <v>44</v>
      </c>
    </row>
    <row r="31" spans="4:21">
      <c r="F31" s="5"/>
      <c r="G31" s="8" t="s">
        <v>29</v>
      </c>
      <c r="H31" s="5"/>
      <c r="I31" s="5"/>
      <c r="Q31" s="88" t="s">
        <v>53</v>
      </c>
      <c r="R31" s="79">
        <v>36</v>
      </c>
      <c r="S31" s="80">
        <v>1</v>
      </c>
      <c r="T31" s="83">
        <v>0.1</v>
      </c>
      <c r="U31" s="82">
        <f t="shared" si="0"/>
        <v>39.6</v>
      </c>
    </row>
    <row r="32" spans="4:21">
      <c r="F32" s="5"/>
      <c r="G32" s="8" t="s">
        <v>30</v>
      </c>
      <c r="H32" s="5"/>
      <c r="I32" s="5"/>
      <c r="Q32" s="88" t="s">
        <v>54</v>
      </c>
      <c r="R32" s="79">
        <v>1.5</v>
      </c>
      <c r="S32" s="80">
        <v>1</v>
      </c>
      <c r="T32" s="83">
        <v>0.1</v>
      </c>
      <c r="U32" s="82">
        <f t="shared" si="0"/>
        <v>1.6500000000000001</v>
      </c>
    </row>
    <row r="33" spans="6:21">
      <c r="F33" s="5"/>
      <c r="G33" s="8" t="s">
        <v>31</v>
      </c>
      <c r="H33" s="5"/>
      <c r="I33" s="5"/>
      <c r="Q33" s="88" t="s">
        <v>55</v>
      </c>
      <c r="R33" s="79">
        <v>1.8</v>
      </c>
      <c r="S33" s="80">
        <v>1</v>
      </c>
      <c r="T33" s="83">
        <v>0.1</v>
      </c>
      <c r="U33" s="82">
        <f t="shared" si="0"/>
        <v>1.9800000000000002</v>
      </c>
    </row>
    <row r="34" spans="6:21">
      <c r="F34" s="5"/>
      <c r="G34" s="8" t="s">
        <v>32</v>
      </c>
      <c r="H34" s="5"/>
      <c r="I34" s="5"/>
      <c r="Q34" s="88" t="s">
        <v>56</v>
      </c>
      <c r="R34" s="79">
        <v>24.7</v>
      </c>
      <c r="S34" s="80">
        <v>1</v>
      </c>
      <c r="T34" s="83">
        <v>0.1</v>
      </c>
      <c r="U34" s="82">
        <f t="shared" si="0"/>
        <v>27.17</v>
      </c>
    </row>
    <row r="35" spans="6:21">
      <c r="F35" s="5"/>
      <c r="G35" s="8" t="s">
        <v>33</v>
      </c>
      <c r="H35" s="5"/>
      <c r="I35" s="5"/>
      <c r="Q35" s="88" t="s">
        <v>57</v>
      </c>
      <c r="R35" s="79">
        <v>17.489999999999998</v>
      </c>
      <c r="S35" s="80">
        <v>1</v>
      </c>
      <c r="T35" s="83">
        <v>0.1</v>
      </c>
      <c r="U35" s="82">
        <f t="shared" si="0"/>
        <v>19.239000000000001</v>
      </c>
    </row>
    <row r="36" spans="6:21">
      <c r="F36" s="5"/>
      <c r="G36" s="8" t="s">
        <v>34</v>
      </c>
      <c r="H36" s="5"/>
      <c r="I36" s="5"/>
      <c r="Q36" s="2" t="s">
        <v>68</v>
      </c>
      <c r="R36" s="79">
        <v>2.5499999999999998</v>
      </c>
      <c r="S36" s="80">
        <v>1</v>
      </c>
      <c r="T36" s="83">
        <v>0.1</v>
      </c>
      <c r="U36" s="82">
        <f t="shared" si="0"/>
        <v>2.8050000000000002</v>
      </c>
    </row>
    <row r="37" spans="6:21">
      <c r="F37" s="5"/>
      <c r="G37" s="8" t="s">
        <v>35</v>
      </c>
      <c r="H37" s="5"/>
      <c r="Q37" s="2" t="s">
        <v>69</v>
      </c>
      <c r="R37" s="79">
        <v>3.5</v>
      </c>
      <c r="S37" s="80">
        <v>1</v>
      </c>
      <c r="T37" s="83">
        <v>0.1</v>
      </c>
      <c r="U37" s="82">
        <f t="shared" si="0"/>
        <v>3.8500000000000005</v>
      </c>
    </row>
    <row r="38" spans="6:21">
      <c r="G38" s="27" t="s">
        <v>36</v>
      </c>
      <c r="H38" s="5"/>
      <c r="Q38" s="2" t="s">
        <v>70</v>
      </c>
      <c r="R38" s="79">
        <v>3.5</v>
      </c>
      <c r="S38" s="80">
        <v>1</v>
      </c>
      <c r="T38" s="83">
        <v>0.1</v>
      </c>
      <c r="U38" s="82">
        <f t="shared" si="0"/>
        <v>3.8500000000000005</v>
      </c>
    </row>
    <row r="39" spans="6:21">
      <c r="G39" s="27" t="s">
        <v>87</v>
      </c>
      <c r="Q39" s="2" t="s">
        <v>67</v>
      </c>
      <c r="R39" s="79">
        <v>3.5</v>
      </c>
      <c r="S39" s="80">
        <v>1</v>
      </c>
      <c r="T39" s="83">
        <v>0.1</v>
      </c>
      <c r="U39" s="82">
        <f t="shared" si="0"/>
        <v>3.8500000000000005</v>
      </c>
    </row>
    <row r="40" spans="6:21" ht="13.5" thickBot="1">
      <c r="Q40" s="2" t="s">
        <v>71</v>
      </c>
      <c r="R40" s="79">
        <v>4</v>
      </c>
      <c r="S40" s="80">
        <v>1</v>
      </c>
      <c r="T40" s="83">
        <v>0.1</v>
      </c>
      <c r="U40" s="82">
        <f t="shared" si="0"/>
        <v>4.4000000000000004</v>
      </c>
    </row>
    <row r="41" spans="6:21" ht="13.5" thickBot="1">
      <c r="G41" s="7" t="s">
        <v>7</v>
      </c>
      <c r="Q41" s="2" t="s">
        <v>72</v>
      </c>
      <c r="R41" s="79">
        <v>4</v>
      </c>
      <c r="S41" s="80">
        <v>1</v>
      </c>
      <c r="T41" s="83">
        <v>0.1</v>
      </c>
      <c r="U41" s="82">
        <f t="shared" si="0"/>
        <v>4.4000000000000004</v>
      </c>
    </row>
    <row r="42" spans="6:21">
      <c r="G42" t="s">
        <v>8</v>
      </c>
      <c r="Q42" s="2" t="s">
        <v>95</v>
      </c>
      <c r="R42" s="3">
        <v>23.4</v>
      </c>
      <c r="S42" s="80">
        <v>1</v>
      </c>
      <c r="T42" s="83">
        <v>0.1</v>
      </c>
      <c r="U42" s="82">
        <f t="shared" ref="U42:U53" si="1">+R42*(1+T42)</f>
        <v>25.740000000000002</v>
      </c>
    </row>
    <row r="43" spans="6:21">
      <c r="G43" t="s">
        <v>9</v>
      </c>
      <c r="Q43" s="2" t="s">
        <v>96</v>
      </c>
      <c r="R43" s="3">
        <v>23.4</v>
      </c>
      <c r="S43" s="80">
        <v>1</v>
      </c>
      <c r="T43" s="83">
        <v>0.1</v>
      </c>
      <c r="U43" s="82">
        <f t="shared" si="1"/>
        <v>25.740000000000002</v>
      </c>
    </row>
    <row r="44" spans="6:21">
      <c r="G44" t="s">
        <v>13</v>
      </c>
      <c r="Q44" s="2" t="s">
        <v>97</v>
      </c>
      <c r="R44" s="3">
        <v>23.4</v>
      </c>
      <c r="S44" s="80">
        <v>1</v>
      </c>
      <c r="T44" s="83">
        <v>0.1</v>
      </c>
      <c r="U44" s="82">
        <f t="shared" si="1"/>
        <v>25.740000000000002</v>
      </c>
    </row>
    <row r="45" spans="6:21">
      <c r="G45" t="s">
        <v>10</v>
      </c>
      <c r="Q45" s="2" t="s">
        <v>98</v>
      </c>
      <c r="R45" s="3">
        <v>4.0999999999999996</v>
      </c>
      <c r="S45" s="80">
        <v>1</v>
      </c>
      <c r="T45" s="83">
        <v>0.1</v>
      </c>
      <c r="U45" s="82">
        <f t="shared" si="1"/>
        <v>4.51</v>
      </c>
    </row>
    <row r="46" spans="6:21" ht="13.5" thickBot="1">
      <c r="Q46" s="2" t="s">
        <v>99</v>
      </c>
      <c r="R46" s="3">
        <v>4.0999999999999996</v>
      </c>
      <c r="S46" s="80">
        <v>1</v>
      </c>
      <c r="T46" s="83">
        <v>0.1</v>
      </c>
      <c r="U46" s="82">
        <f t="shared" si="1"/>
        <v>4.51</v>
      </c>
    </row>
    <row r="47" spans="6:21" ht="13.5" thickBot="1">
      <c r="G47" s="7" t="s">
        <v>21</v>
      </c>
      <c r="Q47" s="2" t="s">
        <v>100</v>
      </c>
      <c r="R47" s="3">
        <v>4.0999999999999996</v>
      </c>
      <c r="S47" s="80">
        <v>1</v>
      </c>
      <c r="T47" s="83">
        <v>0.1</v>
      </c>
      <c r="U47" s="82">
        <f t="shared" si="1"/>
        <v>4.51</v>
      </c>
    </row>
    <row r="48" spans="6:21">
      <c r="G48" s="22" t="s">
        <v>15</v>
      </c>
      <c r="Q48" s="2" t="s">
        <v>101</v>
      </c>
      <c r="R48" s="3">
        <v>3.9</v>
      </c>
      <c r="S48" s="80">
        <v>1</v>
      </c>
      <c r="T48" s="83">
        <v>0.1</v>
      </c>
      <c r="U48" s="82">
        <f t="shared" si="1"/>
        <v>4.29</v>
      </c>
    </row>
    <row r="49" spans="7:21">
      <c r="G49" s="22" t="s">
        <v>16</v>
      </c>
      <c r="Q49" s="2" t="s">
        <v>119</v>
      </c>
      <c r="R49" s="3">
        <v>3.9</v>
      </c>
      <c r="S49" s="80">
        <v>1</v>
      </c>
      <c r="T49" s="83">
        <v>0.1</v>
      </c>
      <c r="U49" s="82">
        <f t="shared" si="1"/>
        <v>4.29</v>
      </c>
    </row>
    <row r="50" spans="7:21">
      <c r="G50" s="22" t="s">
        <v>18</v>
      </c>
      <c r="Q50" s="2" t="s">
        <v>121</v>
      </c>
      <c r="R50" s="3">
        <v>3.9</v>
      </c>
      <c r="S50" s="80">
        <v>1</v>
      </c>
      <c r="T50" s="83">
        <v>0.1</v>
      </c>
      <c r="U50" s="82">
        <f t="shared" si="1"/>
        <v>4.29</v>
      </c>
    </row>
    <row r="51" spans="7:21">
      <c r="G51" s="22" t="s">
        <v>19</v>
      </c>
      <c r="Q51" s="2" t="s">
        <v>102</v>
      </c>
      <c r="R51" s="3">
        <v>23.4</v>
      </c>
      <c r="S51" s="80">
        <v>1</v>
      </c>
      <c r="T51" s="83">
        <v>0.1</v>
      </c>
      <c r="U51" s="82">
        <f t="shared" si="1"/>
        <v>25.740000000000002</v>
      </c>
    </row>
    <row r="52" spans="7:21">
      <c r="G52" s="22" t="s">
        <v>17</v>
      </c>
      <c r="Q52" s="2" t="s">
        <v>103</v>
      </c>
      <c r="R52" s="3">
        <v>23.4</v>
      </c>
      <c r="S52" s="80">
        <v>1</v>
      </c>
      <c r="T52" s="83">
        <v>0.1</v>
      </c>
      <c r="U52" s="82">
        <f t="shared" si="1"/>
        <v>25.740000000000002</v>
      </c>
    </row>
    <row r="53" spans="7:21">
      <c r="Q53" s="2" t="s">
        <v>104</v>
      </c>
      <c r="R53" s="3">
        <v>23.4</v>
      </c>
      <c r="S53" s="80">
        <v>1</v>
      </c>
      <c r="T53" s="83">
        <v>0.1</v>
      </c>
      <c r="U53" s="82">
        <f t="shared" si="1"/>
        <v>25.740000000000002</v>
      </c>
    </row>
    <row r="54" spans="7:21">
      <c r="Q54" s="2" t="s">
        <v>75</v>
      </c>
      <c r="R54" s="79">
        <v>4.0999999999999996</v>
      </c>
      <c r="S54" s="80">
        <v>1</v>
      </c>
      <c r="T54" s="83">
        <v>0.1</v>
      </c>
      <c r="U54" s="82">
        <f t="shared" si="0"/>
        <v>4.51</v>
      </c>
    </row>
    <row r="55" spans="7:21">
      <c r="Q55" s="2" t="s">
        <v>76</v>
      </c>
      <c r="R55" s="79">
        <v>3.9</v>
      </c>
      <c r="S55" s="80">
        <v>1</v>
      </c>
      <c r="T55" s="83">
        <v>0.1</v>
      </c>
      <c r="U55" s="82">
        <f t="shared" si="0"/>
        <v>4.29</v>
      </c>
    </row>
    <row r="56" spans="7:21" ht="13.5" thickBot="1">
      <c r="Q56" s="2" t="s">
        <v>77</v>
      </c>
      <c r="R56" s="79">
        <v>23.4</v>
      </c>
      <c r="S56" s="80">
        <v>1</v>
      </c>
      <c r="T56" s="83">
        <v>0.1</v>
      </c>
      <c r="U56" s="82">
        <f t="shared" si="0"/>
        <v>25.740000000000002</v>
      </c>
    </row>
    <row r="57" spans="7:21" ht="13.5" thickBot="1">
      <c r="Q57" s="1" t="s">
        <v>197</v>
      </c>
      <c r="R57" s="79">
        <v>20</v>
      </c>
      <c r="S57" s="80">
        <v>1</v>
      </c>
      <c r="T57" s="83">
        <v>0.1</v>
      </c>
      <c r="U57" s="82">
        <f t="shared" si="0"/>
        <v>22</v>
      </c>
    </row>
    <row r="58" spans="7:21">
      <c r="Q58" s="1" t="s">
        <v>202</v>
      </c>
      <c r="R58" s="79">
        <v>13</v>
      </c>
      <c r="S58" s="80">
        <v>1</v>
      </c>
      <c r="T58" s="83">
        <v>0.1</v>
      </c>
      <c r="U58" s="82">
        <f t="shared" si="0"/>
        <v>14.3</v>
      </c>
    </row>
    <row r="59" spans="7:21">
      <c r="Q59" s="2" t="s">
        <v>92</v>
      </c>
      <c r="R59" s="79">
        <f>24*0.7</f>
        <v>16.799999999999997</v>
      </c>
      <c r="S59" s="80">
        <v>1</v>
      </c>
      <c r="T59" s="83">
        <v>0.1</v>
      </c>
      <c r="U59" s="82">
        <f t="shared" si="0"/>
        <v>18.479999999999997</v>
      </c>
    </row>
    <row r="60" spans="7:21">
      <c r="Q60" s="89" t="s">
        <v>93</v>
      </c>
      <c r="R60" s="79">
        <f>1.3*6</f>
        <v>7.8000000000000007</v>
      </c>
      <c r="S60" s="80">
        <v>1</v>
      </c>
      <c r="T60" s="83">
        <v>0.1</v>
      </c>
      <c r="U60" s="82">
        <f t="shared" si="0"/>
        <v>8.5800000000000018</v>
      </c>
    </row>
    <row r="61" spans="7:21">
      <c r="Q61" s="2" t="s">
        <v>94</v>
      </c>
      <c r="R61" s="79">
        <f>2.1*6</f>
        <v>12.600000000000001</v>
      </c>
      <c r="S61" s="80">
        <v>1</v>
      </c>
      <c r="T61" s="83">
        <v>0.1</v>
      </c>
      <c r="U61" s="82">
        <f t="shared" si="0"/>
        <v>13.860000000000003</v>
      </c>
    </row>
    <row r="62" spans="7:21">
      <c r="Q62" s="2" t="s">
        <v>62</v>
      </c>
      <c r="R62" s="79">
        <v>3.8</v>
      </c>
      <c r="S62" s="80">
        <v>1</v>
      </c>
      <c r="T62" s="83">
        <v>0.1</v>
      </c>
      <c r="U62" s="82">
        <f t="shared" si="0"/>
        <v>4.18</v>
      </c>
    </row>
    <row r="63" spans="7:21">
      <c r="Q63" s="2" t="s">
        <v>73</v>
      </c>
      <c r="R63" s="79">
        <v>3.8</v>
      </c>
      <c r="S63" s="80">
        <v>1</v>
      </c>
      <c r="T63" s="83">
        <v>0.1</v>
      </c>
      <c r="U63" s="82">
        <f t="shared" si="0"/>
        <v>4.18</v>
      </c>
    </row>
    <row r="64" spans="7:21">
      <c r="Q64" s="2" t="s">
        <v>194</v>
      </c>
      <c r="R64" s="79">
        <v>1.8</v>
      </c>
      <c r="S64" s="80">
        <v>2</v>
      </c>
      <c r="T64" s="83">
        <v>0.2</v>
      </c>
      <c r="U64" s="82">
        <f t="shared" si="0"/>
        <v>2.16</v>
      </c>
    </row>
    <row r="65" spans="17:21">
      <c r="Q65" s="2" t="s">
        <v>63</v>
      </c>
      <c r="R65" s="79">
        <v>28.8</v>
      </c>
      <c r="S65" s="80">
        <v>2</v>
      </c>
      <c r="T65" s="83">
        <v>0.2</v>
      </c>
      <c r="U65" s="82">
        <f t="shared" si="0"/>
        <v>34.56</v>
      </c>
    </row>
    <row r="66" spans="17:21">
      <c r="Q66" s="2" t="s">
        <v>64</v>
      </c>
      <c r="R66" s="79">
        <v>6.6</v>
      </c>
      <c r="S66" s="80">
        <v>2</v>
      </c>
      <c r="T66" s="83">
        <v>0.2</v>
      </c>
      <c r="U66" s="82">
        <f t="shared" si="0"/>
        <v>7.919999999999999</v>
      </c>
    </row>
    <row r="67" spans="17:21">
      <c r="Q67" s="2" t="s">
        <v>65</v>
      </c>
      <c r="R67" s="79">
        <v>12</v>
      </c>
      <c r="S67" s="80">
        <v>2</v>
      </c>
      <c r="T67" s="83">
        <v>0.2</v>
      </c>
      <c r="U67" s="82">
        <f t="shared" si="0"/>
        <v>14.399999999999999</v>
      </c>
    </row>
    <row r="68" spans="17:21">
      <c r="Q68" s="88" t="s">
        <v>110</v>
      </c>
      <c r="R68" s="79">
        <v>15.1</v>
      </c>
      <c r="S68" s="80">
        <v>2</v>
      </c>
      <c r="T68" s="83">
        <v>0.2</v>
      </c>
      <c r="U68" s="82">
        <f>+R68*(1+T68)</f>
        <v>18.119999999999997</v>
      </c>
    </row>
    <row r="69" spans="17:21">
      <c r="Q69" s="2" t="s">
        <v>109</v>
      </c>
      <c r="R69" s="79">
        <v>15.1</v>
      </c>
      <c r="S69" s="80">
        <v>2</v>
      </c>
      <c r="T69" s="83">
        <v>0.2</v>
      </c>
      <c r="U69" s="82">
        <f>+R69*(1+T69)</f>
        <v>18.119999999999997</v>
      </c>
    </row>
    <row r="70" spans="17:21">
      <c r="Q70" s="2" t="s">
        <v>108</v>
      </c>
      <c r="R70" s="79">
        <v>15.1</v>
      </c>
      <c r="S70" s="80">
        <v>2</v>
      </c>
      <c r="T70" s="83">
        <v>0.2</v>
      </c>
      <c r="U70" s="82">
        <f>+R70*(1+T70)</f>
        <v>18.119999999999997</v>
      </c>
    </row>
    <row r="71" spans="17:21">
      <c r="Q71" s="2" t="s">
        <v>14</v>
      </c>
      <c r="R71" s="79">
        <v>5.8</v>
      </c>
      <c r="S71" s="80">
        <v>2</v>
      </c>
      <c r="T71" s="83">
        <v>0.2</v>
      </c>
      <c r="U71" s="82">
        <f t="shared" si="0"/>
        <v>6.96</v>
      </c>
    </row>
    <row r="72" spans="17:21">
      <c r="Q72" s="2" t="s">
        <v>78</v>
      </c>
      <c r="R72" s="79">
        <v>1.5</v>
      </c>
      <c r="S72" s="80">
        <v>2</v>
      </c>
      <c r="T72" s="83">
        <v>0.2</v>
      </c>
      <c r="U72" s="82">
        <f t="shared" si="0"/>
        <v>1.7999999999999998</v>
      </c>
    </row>
    <row r="73" spans="17:21">
      <c r="Q73" s="2" t="s">
        <v>79</v>
      </c>
      <c r="R73" s="79">
        <v>18</v>
      </c>
      <c r="S73" s="80">
        <v>2</v>
      </c>
      <c r="T73" s="83">
        <v>0.2</v>
      </c>
      <c r="U73" s="82">
        <f t="shared" si="0"/>
        <v>21.599999999999998</v>
      </c>
    </row>
    <row r="74" spans="17:21" ht="13.5" thickBot="1">
      <c r="Q74" s="4" t="s">
        <v>3</v>
      </c>
      <c r="R74" s="90">
        <v>10</v>
      </c>
      <c r="S74" s="91">
        <v>2</v>
      </c>
      <c r="T74" s="92">
        <v>0.2</v>
      </c>
      <c r="U74" s="93">
        <f>+R74*(1+T74)</f>
        <v>12</v>
      </c>
    </row>
  </sheetData>
  <customSheetViews>
    <customSheetView guid="{242414E6-120C-46C4-A8A3-88F120C813D3}" fitToPage="1" printArea="1" topLeftCell="F1">
      <selection activeCell="F23" sqref="F23:F51"/>
      <pageMargins left="0.78740157499999996" right="0.78740157499999996" top="0.984251969" bottom="0.984251969" header="0.4921259845" footer="0.4921259845"/>
      <pageSetup paperSize="9" scale="71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scale="1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tabSelected="1" view="pageLayout" topLeftCell="A56" zoomScale="75" zoomScaleNormal="75" zoomScalePageLayoutView="75" workbookViewId="0">
      <selection activeCell="A80" sqref="A1:G80"/>
    </sheetView>
  </sheetViews>
  <sheetFormatPr baseColWidth="10" defaultRowHeight="12.75"/>
  <cols>
    <col min="1" max="1" width="45" style="130" customWidth="1"/>
    <col min="2" max="2" width="81.28515625" style="130" customWidth="1"/>
    <col min="3" max="3" width="24.28515625" style="130" customWidth="1"/>
    <col min="4" max="4" width="10.7109375" style="130" customWidth="1"/>
    <col min="5" max="5" width="15.42578125" style="130" customWidth="1"/>
    <col min="6" max="6" width="18.140625" style="130" customWidth="1"/>
    <col min="7" max="7" width="30.28515625" style="130" customWidth="1"/>
  </cols>
  <sheetData>
    <row r="1" spans="1:12" s="32" customFormat="1" ht="20.100000000000001" customHeight="1">
      <c r="A1" s="97"/>
      <c r="B1" s="98"/>
      <c r="C1" s="99"/>
      <c r="D1" s="99"/>
      <c r="E1" s="100"/>
      <c r="F1" s="100"/>
      <c r="G1" s="100"/>
    </row>
    <row r="2" spans="1:12" s="32" customFormat="1" ht="20.100000000000001" customHeight="1">
      <c r="A2" s="101"/>
      <c r="B2" s="102"/>
      <c r="C2" s="103"/>
      <c r="D2" s="102"/>
      <c r="E2" s="104"/>
      <c r="F2" s="104"/>
      <c r="G2" s="104"/>
    </row>
    <row r="3" spans="1:12" s="18" customFormat="1" ht="36" customHeight="1">
      <c r="A3" s="97"/>
      <c r="B3" s="99"/>
      <c r="C3" s="173" t="s">
        <v>182</v>
      </c>
      <c r="D3" s="174"/>
      <c r="E3" s="173"/>
      <c r="F3" s="173"/>
      <c r="G3" s="173"/>
      <c r="H3" s="174"/>
    </row>
    <row r="4" spans="1:12" s="33" customFormat="1" ht="20.100000000000001" customHeight="1">
      <c r="A4" s="100"/>
      <c r="B4" s="99"/>
      <c r="C4" s="99"/>
      <c r="D4" s="172"/>
      <c r="E4" s="172"/>
      <c r="F4" s="172"/>
      <c r="G4" s="172"/>
    </row>
    <row r="5" spans="1:12" s="33" customFormat="1" ht="25.15" customHeight="1">
      <c r="A5" s="100"/>
      <c r="B5" s="99"/>
      <c r="C5" s="99"/>
      <c r="D5" s="247" t="s">
        <v>178</v>
      </c>
      <c r="E5" s="248"/>
      <c r="F5" s="248"/>
      <c r="G5" s="249"/>
    </row>
    <row r="6" spans="1:12" s="32" customFormat="1" ht="20.100000000000001" customHeight="1">
      <c r="A6" s="105"/>
      <c r="B6" s="106"/>
      <c r="C6" s="106"/>
      <c r="D6" s="106"/>
      <c r="E6" s="105"/>
      <c r="F6" s="105"/>
      <c r="G6" s="105"/>
    </row>
    <row r="7" spans="1:12" s="32" customFormat="1" ht="18" customHeight="1">
      <c r="A7" s="105"/>
      <c r="B7" s="106"/>
      <c r="C7" s="106"/>
      <c r="D7" s="145"/>
      <c r="E7" s="146"/>
      <c r="F7" s="146"/>
      <c r="G7" s="146"/>
    </row>
    <row r="8" spans="1:12" s="11" customFormat="1" ht="36" customHeight="1">
      <c r="A8" s="107"/>
      <c r="B8" s="108"/>
      <c r="C8" s="108"/>
      <c r="D8" s="250" t="s">
        <v>183</v>
      </c>
      <c r="E8" s="250"/>
      <c r="F8" s="250"/>
      <c r="G8" s="250"/>
    </row>
    <row r="9" spans="1:12" s="11" customFormat="1" ht="19.899999999999999" customHeight="1">
      <c r="B9" s="109"/>
      <c r="C9" s="109"/>
      <c r="D9" s="253" t="s">
        <v>168</v>
      </c>
      <c r="E9" s="253"/>
      <c r="F9" s="253"/>
      <c r="G9" s="253"/>
    </row>
    <row r="10" spans="1:12" s="11" customFormat="1" ht="20.100000000000001" customHeight="1">
      <c r="B10" s="103"/>
      <c r="C10" s="103"/>
      <c r="D10" s="251" t="s">
        <v>177</v>
      </c>
      <c r="E10" s="251"/>
      <c r="F10" s="251"/>
      <c r="G10" s="251"/>
    </row>
    <row r="11" spans="1:12" s="11" customFormat="1" ht="20.100000000000001" customHeight="1">
      <c r="B11" s="111"/>
      <c r="C11" s="111"/>
      <c r="D11" s="251"/>
      <c r="E11" s="251"/>
      <c r="F11" s="251"/>
      <c r="G11" s="251"/>
    </row>
    <row r="12" spans="1:12" s="11" customFormat="1" ht="19.899999999999999" customHeight="1">
      <c r="A12" s="113"/>
      <c r="C12" s="111"/>
      <c r="D12" s="254"/>
      <c r="E12" s="255"/>
      <c r="F12" s="255"/>
      <c r="G12" s="255"/>
    </row>
    <row r="13" spans="1:12" s="11" customFormat="1" ht="9" customHeight="1">
      <c r="A13" s="112"/>
      <c r="B13" s="112"/>
      <c r="C13" s="112"/>
      <c r="D13" s="112"/>
      <c r="E13" s="112"/>
      <c r="F13" s="112"/>
      <c r="G13" s="112"/>
    </row>
    <row r="14" spans="1:12" s="11" customFormat="1" ht="55.15" customHeight="1">
      <c r="A14" s="135" t="s">
        <v>6</v>
      </c>
      <c r="B14" s="327" t="s">
        <v>191</v>
      </c>
      <c r="C14" s="327"/>
      <c r="D14" s="327"/>
      <c r="E14" s="327"/>
      <c r="F14" s="327"/>
      <c r="G14" s="327"/>
      <c r="H14" s="326"/>
      <c r="I14" s="326"/>
      <c r="J14" s="326"/>
      <c r="K14" s="326"/>
      <c r="L14" s="326"/>
    </row>
    <row r="15" spans="1:12" s="11" customFormat="1" ht="21.2" customHeight="1">
      <c r="A15" s="209" t="s">
        <v>181</v>
      </c>
      <c r="B15" s="210"/>
      <c r="C15" s="213" t="str">
        <f>A17</f>
        <v>Type de client :</v>
      </c>
      <c r="D15" s="237"/>
      <c r="E15" s="237"/>
      <c r="F15" s="237"/>
      <c r="G15" s="237"/>
    </row>
    <row r="16" spans="1:12" s="11" customFormat="1" ht="21.2" customHeight="1">
      <c r="A16" s="214" t="s">
        <v>180</v>
      </c>
      <c r="B16" s="212"/>
      <c r="C16" s="222" t="str">
        <f>IF(C15="Nom prénom","","Service Payeur :")</f>
        <v>Service Payeur :</v>
      </c>
      <c r="D16" s="237"/>
      <c r="E16" s="237"/>
      <c r="F16" s="237"/>
      <c r="G16" s="237"/>
      <c r="H16" s="16"/>
    </row>
    <row r="17" spans="1:11" s="11" customFormat="1" ht="21.2" customHeight="1">
      <c r="A17" s="214" t="s">
        <v>205</v>
      </c>
      <c r="B17" s="215"/>
      <c r="C17" s="223" t="s">
        <v>187</v>
      </c>
      <c r="D17" s="237"/>
      <c r="E17" s="237"/>
      <c r="F17" s="237"/>
      <c r="G17" s="237"/>
      <c r="H17" s="16"/>
    </row>
    <row r="18" spans="1:11" s="11" customFormat="1" ht="21.2" customHeight="1">
      <c r="A18" s="211" t="s">
        <v>170</v>
      </c>
      <c r="B18" s="215"/>
      <c r="C18" s="223" t="s">
        <v>188</v>
      </c>
      <c r="D18" s="252"/>
      <c r="E18" s="252"/>
      <c r="F18" s="252"/>
      <c r="G18" s="252"/>
      <c r="H18" s="16"/>
    </row>
    <row r="19" spans="1:11" s="11" customFormat="1" ht="21">
      <c r="A19" s="214" t="s">
        <v>188</v>
      </c>
      <c r="B19" s="227"/>
      <c r="C19" s="223" t="s">
        <v>171</v>
      </c>
      <c r="D19" s="234"/>
      <c r="E19" s="234"/>
      <c r="F19" s="234"/>
      <c r="G19" s="234"/>
      <c r="H19" s="16"/>
    </row>
    <row r="20" spans="1:11" s="11" customFormat="1" ht="21.2" customHeight="1">
      <c r="A20" s="211" t="s">
        <v>171</v>
      </c>
      <c r="B20" s="215"/>
      <c r="C20" s="235" t="s">
        <v>209</v>
      </c>
      <c r="D20" s="236"/>
      <c r="E20" s="234"/>
      <c r="F20" s="234"/>
      <c r="G20" s="234"/>
      <c r="H20" s="16"/>
      <c r="I20" s="211"/>
    </row>
    <row r="21" spans="1:11" s="11" customFormat="1" ht="21.2" customHeight="1">
      <c r="A21" s="214" t="s">
        <v>211</v>
      </c>
      <c r="B21" s="228"/>
      <c r="C21" s="236" t="s">
        <v>210</v>
      </c>
      <c r="D21" s="236"/>
      <c r="E21" s="234"/>
      <c r="F21" s="234"/>
      <c r="G21" s="234"/>
      <c r="H21" s="16"/>
    </row>
    <row r="22" spans="1:11" s="11" customFormat="1" ht="21.2" customHeight="1">
      <c r="A22" s="211" t="s">
        <v>172</v>
      </c>
      <c r="B22" s="229"/>
      <c r="C22" s="225" t="s">
        <v>184</v>
      </c>
      <c r="D22" s="221"/>
      <c r="E22" s="234"/>
      <c r="F22" s="234"/>
      <c r="G22" s="234"/>
      <c r="H22" s="16"/>
    </row>
    <row r="23" spans="1:11" s="11" customFormat="1" ht="21.2" customHeight="1">
      <c r="A23" s="214" t="s">
        <v>185</v>
      </c>
      <c r="B23" s="230"/>
      <c r="C23" s="223" t="s">
        <v>186</v>
      </c>
      <c r="D23" s="221"/>
      <c r="E23" s="234"/>
      <c r="F23" s="234"/>
      <c r="G23" s="234"/>
      <c r="H23" s="16"/>
    </row>
    <row r="24" spans="1:11" s="11" customFormat="1" ht="21.2" customHeight="1">
      <c r="A24" s="214"/>
      <c r="B24" s="217"/>
      <c r="C24" s="224" t="s">
        <v>212</v>
      </c>
      <c r="D24" s="218"/>
      <c r="E24" s="232"/>
      <c r="F24" s="232"/>
      <c r="G24" s="232"/>
    </row>
    <row r="25" spans="1:11" s="11" customFormat="1" ht="21.2" customHeight="1">
      <c r="A25" s="214"/>
      <c r="B25" s="217"/>
      <c r="C25" s="224" t="s">
        <v>206</v>
      </c>
      <c r="D25" s="218"/>
      <c r="E25" s="232" t="s">
        <v>21</v>
      </c>
      <c r="F25" s="232"/>
      <c r="G25" s="219"/>
      <c r="H25" s="12"/>
    </row>
    <row r="26" spans="1:11" s="11" customFormat="1" ht="21.2" customHeight="1">
      <c r="A26" s="216"/>
      <c r="B26" s="218"/>
      <c r="C26" s="224" t="str">
        <f>IF(E25="Virement Chorus","N° Chorus :","")</f>
        <v/>
      </c>
      <c r="D26" s="216"/>
      <c r="E26" s="233"/>
      <c r="F26" s="233"/>
      <c r="G26" s="233"/>
    </row>
    <row r="27" spans="1:11" s="96" customFormat="1" ht="38.450000000000003" customHeight="1">
      <c r="A27" s="328" t="s">
        <v>12</v>
      </c>
      <c r="B27" s="328"/>
      <c r="C27" s="328"/>
      <c r="D27" s="328"/>
      <c r="E27" s="328"/>
      <c r="F27" s="328"/>
      <c r="G27" s="328"/>
    </row>
    <row r="28" spans="1:11" s="96" customFormat="1" ht="20.100000000000001" customHeight="1">
      <c r="A28" s="116"/>
      <c r="B28" s="116"/>
      <c r="C28" s="116"/>
      <c r="D28" s="116"/>
      <c r="E28" s="116"/>
      <c r="F28" s="116"/>
      <c r="G28" s="116"/>
    </row>
    <row r="29" spans="1:11" s="96" customFormat="1" ht="20.100000000000001" customHeight="1">
      <c r="A29" s="149" t="s">
        <v>169</v>
      </c>
      <c r="B29" s="151"/>
      <c r="C29" s="118"/>
      <c r="D29" s="117"/>
      <c r="E29" s="118"/>
      <c r="F29" s="118"/>
      <c r="G29" s="118"/>
    </row>
    <row r="30" spans="1:11" s="96" customFormat="1" ht="20.100000000000001" customHeight="1">
      <c r="A30" s="149" t="s">
        <v>173</v>
      </c>
      <c r="B30" s="150"/>
      <c r="C30" s="323"/>
      <c r="D30" s="323"/>
      <c r="E30" s="324"/>
      <c r="F30" s="323"/>
      <c r="G30" s="323"/>
      <c r="H30" s="325"/>
      <c r="I30" s="325"/>
      <c r="J30" s="325"/>
      <c r="K30" s="325"/>
    </row>
    <row r="31" spans="1:11" s="96" customFormat="1" ht="64.5" customHeight="1">
      <c r="A31" s="178" t="s">
        <v>179</v>
      </c>
      <c r="B31" s="176" t="s">
        <v>213</v>
      </c>
      <c r="C31" s="177"/>
      <c r="D31" s="177"/>
      <c r="E31" s="177"/>
      <c r="F31" s="177"/>
      <c r="G31" s="177"/>
    </row>
    <row r="32" spans="1:11" s="96" customFormat="1" ht="20.100000000000001" customHeight="1">
      <c r="A32" s="181" t="str">
        <f>IF($B$31="A Emporter","Lieu de retrait :","")</f>
        <v/>
      </c>
      <c r="B32" s="166" t="str">
        <f>IF($B$31="A Emporter","Le Café à partir de 8h00","")</f>
        <v/>
      </c>
      <c r="C32" s="116"/>
      <c r="D32" s="116"/>
      <c r="E32" s="116"/>
      <c r="F32" s="116"/>
      <c r="G32" s="116"/>
    </row>
    <row r="33" spans="1:7" s="96" customFormat="1" ht="20.100000000000001" customHeight="1">
      <c r="A33" s="179" t="str">
        <f>IF(B31="Autre Lieu","Autre Lieu :","")</f>
        <v/>
      </c>
      <c r="B33" s="169"/>
      <c r="C33" s="169"/>
      <c r="D33" s="169"/>
      <c r="E33" s="169"/>
      <c r="F33" s="169"/>
      <c r="G33" s="169"/>
    </row>
    <row r="34" spans="1:7" s="96" customFormat="1" ht="20.100000000000001" customHeight="1">
      <c r="B34" s="121"/>
      <c r="C34" s="117"/>
      <c r="D34" s="117"/>
      <c r="E34" s="117"/>
      <c r="F34" s="117"/>
      <c r="G34" s="117"/>
    </row>
    <row r="35" spans="1:7" s="96" customFormat="1" ht="20.100000000000001" customHeight="1">
      <c r="A35" s="137" t="s">
        <v>174</v>
      </c>
      <c r="B35" s="122"/>
      <c r="C35" s="122"/>
      <c r="D35" s="122"/>
      <c r="E35" s="122"/>
      <c r="F35" s="122"/>
      <c r="G35" s="122"/>
    </row>
    <row r="36" spans="1:7" s="11" customFormat="1" ht="63" customHeight="1">
      <c r="A36" s="170"/>
      <c r="B36" s="171"/>
      <c r="C36" s="171"/>
      <c r="D36" s="171"/>
      <c r="E36" s="171"/>
      <c r="F36" s="171"/>
      <c r="G36" s="171"/>
    </row>
    <row r="37" spans="1:7" s="11" customFormat="1" ht="18" customHeight="1">
      <c r="A37" s="123"/>
      <c r="B37" s="140"/>
      <c r="C37" s="123"/>
      <c r="D37" s="123"/>
      <c r="E37" s="123"/>
      <c r="F37" s="123"/>
      <c r="G37" s="123"/>
    </row>
    <row r="38" spans="1:7" s="11" customFormat="1" ht="0.75" customHeight="1">
      <c r="A38" s="110"/>
      <c r="B38" s="141"/>
      <c r="C38" s="110"/>
      <c r="D38" s="110"/>
      <c r="E38" s="110"/>
      <c r="F38" s="110"/>
      <c r="G38" s="110"/>
    </row>
    <row r="39" spans="1:7" s="11" customFormat="1" ht="61.5" customHeight="1">
      <c r="A39" s="143" t="s">
        <v>86</v>
      </c>
      <c r="B39" s="142"/>
      <c r="C39" s="133"/>
      <c r="D39" s="133"/>
      <c r="E39" s="133"/>
      <c r="F39" s="133"/>
      <c r="G39" s="180"/>
    </row>
    <row r="40" spans="1:7" s="11" customFormat="1" ht="15">
      <c r="A40" s="114"/>
      <c r="B40" s="114"/>
      <c r="C40" s="114"/>
      <c r="D40" s="114"/>
      <c r="E40" s="114"/>
      <c r="F40" s="114"/>
      <c r="G40" s="114"/>
    </row>
    <row r="41" spans="1:7" s="11" customFormat="1" ht="52.5" customHeight="1">
      <c r="A41" s="138" t="s">
        <v>198</v>
      </c>
      <c r="B41" s="138" t="s">
        <v>1</v>
      </c>
      <c r="C41" s="138" t="s">
        <v>2</v>
      </c>
      <c r="D41" s="138" t="s">
        <v>91</v>
      </c>
      <c r="E41" s="138" t="s">
        <v>0</v>
      </c>
      <c r="F41" s="138" t="s">
        <v>4</v>
      </c>
      <c r="G41" s="139" t="s">
        <v>11</v>
      </c>
    </row>
    <row r="42" spans="1:7" s="11" customFormat="1" ht="32.1" customHeight="1">
      <c r="A42" s="124" t="str">
        <f>livraisonPersonnel</f>
        <v>Livraison et Personnel TVA 20 %</v>
      </c>
      <c r="B42" s="128"/>
      <c r="C42" s="125" t="str">
        <f t="shared" ref="C42:C51" si="0">(IF(ISBLANK($B42),"",VLOOKUP($B42,tarif,2,FALSE)))</f>
        <v/>
      </c>
      <c r="D42" s="126" t="str">
        <f t="shared" ref="D42:D51" si="1">(IF(ISBLANK($B42),"",VLOOKUP($B42,tarif,3,FALSE)))</f>
        <v/>
      </c>
      <c r="E42" s="197" t="str">
        <f t="shared" ref="E42:E59" si="2">IF(ISBLANK($B42),"","Quantité à remplir")</f>
        <v/>
      </c>
      <c r="F42" s="125" t="str">
        <f>IFERROR(VLOOKUP($B42,tarif,2,FALSE)*$E42,"")</f>
        <v/>
      </c>
      <c r="G42" s="125" t="str">
        <f>IFERROR(VLOOKUP($B42,tarif,5,FALSE)*$E42,"")</f>
        <v/>
      </c>
    </row>
    <row r="43" spans="1:7" s="11" customFormat="1" ht="18.75">
      <c r="A43" s="128" t="str">
        <f>+Calcul_A_emporter!L19</f>
        <v>Location de salle AURI TVA à 20%</v>
      </c>
      <c r="B43" s="128"/>
      <c r="C43" s="125" t="str">
        <f t="shared" si="0"/>
        <v/>
      </c>
      <c r="D43" s="126" t="str">
        <f t="shared" si="1"/>
        <v/>
      </c>
      <c r="E43" s="197" t="str">
        <f t="shared" si="2"/>
        <v/>
      </c>
      <c r="F43" s="125" t="str">
        <f>IFERROR(VLOOKUP($B43,tarif,2,FALSE)*$E43,"")</f>
        <v/>
      </c>
      <c r="G43" s="125" t="str">
        <f>IFERROR(VLOOKUP($B43,tarif,5,FALSE)*$E43,"")</f>
        <v/>
      </c>
    </row>
    <row r="44" spans="1:7" s="11" customFormat="1" ht="32.1" customHeight="1">
      <c r="A44" s="128"/>
      <c r="B44" s="128"/>
      <c r="C44" s="127" t="str">
        <f t="shared" si="0"/>
        <v/>
      </c>
      <c r="D44" s="126" t="str">
        <f t="shared" si="1"/>
        <v/>
      </c>
      <c r="E44" s="197" t="str">
        <f t="shared" si="2"/>
        <v/>
      </c>
      <c r="F44" s="125"/>
      <c r="G44" s="125"/>
    </row>
    <row r="45" spans="1:7" s="11" customFormat="1" ht="32.1" customHeight="1">
      <c r="A45" s="128"/>
      <c r="B45" s="128"/>
      <c r="C45" s="125" t="str">
        <f t="shared" si="0"/>
        <v/>
      </c>
      <c r="D45" s="126" t="str">
        <f t="shared" si="1"/>
        <v/>
      </c>
      <c r="E45" s="197" t="str">
        <f t="shared" si="2"/>
        <v/>
      </c>
      <c r="F45" s="125"/>
      <c r="G45" s="125"/>
    </row>
    <row r="46" spans="1:7" s="11" customFormat="1" ht="32.1" customHeight="1">
      <c r="A46" s="128"/>
      <c r="B46" s="128"/>
      <c r="C46" s="125" t="str">
        <f t="shared" si="0"/>
        <v/>
      </c>
      <c r="D46" s="126" t="str">
        <f t="shared" si="1"/>
        <v/>
      </c>
      <c r="E46" s="197" t="str">
        <f t="shared" si="2"/>
        <v/>
      </c>
      <c r="F46" s="125"/>
      <c r="G46" s="125"/>
    </row>
    <row r="47" spans="1:7" s="11" customFormat="1" ht="32.1" customHeight="1">
      <c r="A47" s="128"/>
      <c r="B47" s="128"/>
      <c r="C47" s="125" t="str">
        <f t="shared" si="0"/>
        <v/>
      </c>
      <c r="D47" s="126" t="str">
        <f t="shared" si="1"/>
        <v/>
      </c>
      <c r="E47" s="197" t="str">
        <f t="shared" si="2"/>
        <v/>
      </c>
      <c r="F47" s="125"/>
      <c r="G47" s="125"/>
    </row>
    <row r="48" spans="1:7" s="11" customFormat="1" ht="32.1" customHeight="1">
      <c r="A48" s="128"/>
      <c r="B48" s="128"/>
      <c r="C48" s="125" t="str">
        <f t="shared" si="0"/>
        <v/>
      </c>
      <c r="D48" s="126" t="str">
        <f t="shared" si="1"/>
        <v/>
      </c>
      <c r="E48" s="197" t="str">
        <f t="shared" si="2"/>
        <v/>
      </c>
      <c r="F48" s="125"/>
      <c r="G48" s="125"/>
    </row>
    <row r="49" spans="1:7" s="11" customFormat="1" ht="32.1" customHeight="1">
      <c r="A49" s="128"/>
      <c r="B49" s="128"/>
      <c r="C49" s="125" t="str">
        <f t="shared" si="0"/>
        <v/>
      </c>
      <c r="D49" s="126" t="str">
        <f t="shared" si="1"/>
        <v/>
      </c>
      <c r="E49" s="197" t="str">
        <f t="shared" si="2"/>
        <v/>
      </c>
      <c r="F49" s="125"/>
      <c r="G49" s="125"/>
    </row>
    <row r="50" spans="1:7" s="11" customFormat="1" ht="32.1" customHeight="1">
      <c r="A50" s="128"/>
      <c r="B50" s="128"/>
      <c r="C50" s="125" t="str">
        <f t="shared" si="0"/>
        <v/>
      </c>
      <c r="D50" s="126" t="str">
        <f t="shared" si="1"/>
        <v/>
      </c>
      <c r="E50" s="197" t="str">
        <f t="shared" si="2"/>
        <v/>
      </c>
      <c r="F50" s="125"/>
      <c r="G50" s="125"/>
    </row>
    <row r="51" spans="1:7" s="11" customFormat="1" ht="32.1" customHeight="1">
      <c r="A51" s="128"/>
      <c r="B51" s="128"/>
      <c r="C51" s="125" t="str">
        <f t="shared" si="0"/>
        <v/>
      </c>
      <c r="D51" s="126" t="str">
        <f t="shared" si="1"/>
        <v/>
      </c>
      <c r="E51" s="197" t="str">
        <f t="shared" si="2"/>
        <v/>
      </c>
      <c r="F51" s="125"/>
      <c r="G51" s="125"/>
    </row>
    <row r="52" spans="1:7" s="11" customFormat="1" ht="32.1" customHeight="1">
      <c r="A52" s="128"/>
      <c r="B52" s="128"/>
      <c r="C52" s="125"/>
      <c r="D52" s="126"/>
      <c r="E52" s="197" t="str">
        <f t="shared" si="2"/>
        <v/>
      </c>
      <c r="F52" s="125"/>
      <c r="G52" s="125"/>
    </row>
    <row r="53" spans="1:7" s="11" customFormat="1" ht="32.1" customHeight="1">
      <c r="A53" s="128"/>
      <c r="B53" s="128"/>
      <c r="C53" s="125"/>
      <c r="D53" s="126"/>
      <c r="E53" s="197" t="str">
        <f t="shared" si="2"/>
        <v/>
      </c>
      <c r="F53" s="125"/>
      <c r="G53" s="125"/>
    </row>
    <row r="54" spans="1:7" s="11" customFormat="1" ht="32.1" customHeight="1">
      <c r="A54" s="128"/>
      <c r="B54" s="128"/>
      <c r="C54" s="125"/>
      <c r="D54" s="126"/>
      <c r="E54" s="197" t="str">
        <f t="shared" si="2"/>
        <v/>
      </c>
      <c r="F54" s="125"/>
      <c r="G54" s="125"/>
    </row>
    <row r="55" spans="1:7" s="11" customFormat="1" ht="32.1" customHeight="1">
      <c r="A55" s="128"/>
      <c r="B55" s="128"/>
      <c r="C55" s="125" t="str">
        <f>(IF(ISBLANK($B55),"",VLOOKUP($B55,tarif,2,FALSE)))</f>
        <v/>
      </c>
      <c r="D55" s="126" t="str">
        <f>(IF(ISBLANK($B55),"",VLOOKUP($B55,tarif,3,FALSE)))</f>
        <v/>
      </c>
      <c r="E55" s="197" t="str">
        <f t="shared" si="2"/>
        <v/>
      </c>
      <c r="F55" s="125" t="str">
        <f>IFERROR(VLOOKUP($B55,tarif,2,FALSE)*$E55,"")</f>
        <v/>
      </c>
      <c r="G55" s="125" t="str">
        <f>IFERROR(VLOOKUP($B55,tarif,5,FALSE)*$E55,"")</f>
        <v/>
      </c>
    </row>
    <row r="56" spans="1:7" s="11" customFormat="1" ht="32.1" customHeight="1">
      <c r="A56" s="128"/>
      <c r="B56" s="128"/>
      <c r="C56" s="125" t="str">
        <f>(IF(ISBLANK($B56),"",VLOOKUP($B56,tarif,2,FALSE)))</f>
        <v/>
      </c>
      <c r="D56" s="126" t="str">
        <f>(IF(ISBLANK($B56),"",VLOOKUP($B56,tarif,3,FALSE)))</f>
        <v/>
      </c>
      <c r="E56" s="197" t="str">
        <f t="shared" si="2"/>
        <v/>
      </c>
      <c r="F56" s="125" t="str">
        <f>IFERROR(VLOOKUP($B56,tarif,2,FALSE)*$E56,"")</f>
        <v/>
      </c>
      <c r="G56" s="125" t="str">
        <f>IFERROR(VLOOKUP($B56,tarif,5,FALSE)*$E56,"")</f>
        <v/>
      </c>
    </row>
    <row r="57" spans="1:7" s="11" customFormat="1" ht="32.1" customHeight="1">
      <c r="A57" s="128"/>
      <c r="B57" s="128"/>
      <c r="C57" s="125" t="str">
        <f>(IF(ISBLANK($B57),"",VLOOKUP($B57,tarif,2,FALSE)))</f>
        <v/>
      </c>
      <c r="D57" s="126" t="str">
        <f>(IF(ISBLANK($B57),"",VLOOKUP($B57,tarif,3,FALSE)))</f>
        <v/>
      </c>
      <c r="E57" s="197" t="str">
        <f t="shared" si="2"/>
        <v/>
      </c>
      <c r="F57" s="125" t="str">
        <f>IFERROR(VLOOKUP($B57,tarif,2,FALSE)*$E57,"")</f>
        <v/>
      </c>
      <c r="G57" s="125" t="str">
        <f>IFERROR(VLOOKUP($B57,tarif,5,FALSE)*$E57,"")</f>
        <v/>
      </c>
    </row>
    <row r="58" spans="1:7" s="11" customFormat="1" ht="32.1" customHeight="1">
      <c r="A58" s="128"/>
      <c r="B58" s="128"/>
      <c r="C58" s="125" t="str">
        <f>(IF(ISBLANK($B58),"",VLOOKUP($B58,tarif,2,FALSE)))</f>
        <v/>
      </c>
      <c r="D58" s="126" t="str">
        <f>(IF(ISBLANK($B58),"",VLOOKUP($B58,tarif,3,FALSE)))</f>
        <v/>
      </c>
      <c r="E58" s="197" t="str">
        <f t="shared" si="2"/>
        <v/>
      </c>
      <c r="F58" s="125" t="str">
        <f>IFERROR(VLOOKUP($B58,tarif,2,FALSE)*$E58,"")</f>
        <v/>
      </c>
      <c r="G58" s="125" t="str">
        <f>IFERROR(VLOOKUP($B58,tarif,5,FALSE)*$E58,"")</f>
        <v/>
      </c>
    </row>
    <row r="59" spans="1:7" s="11" customFormat="1" ht="32.1" customHeight="1" thickBot="1">
      <c r="A59" s="158"/>
      <c r="B59" s="128"/>
      <c r="C59" s="144" t="str">
        <f>(IF(ISBLANK($B59),"",VLOOKUP($B59,tarif,2,FALSE)))</f>
        <v/>
      </c>
      <c r="D59" s="159" t="str">
        <f>(IF(ISBLANK($B59),"",VLOOKUP($B59,tarif,3,FALSE)))</f>
        <v/>
      </c>
      <c r="E59" s="197" t="str">
        <f t="shared" si="2"/>
        <v/>
      </c>
      <c r="F59" s="144" t="str">
        <f>IFERROR(VLOOKUP($B59,tarif,2,FALSE)*$E59,"")</f>
        <v/>
      </c>
      <c r="G59" s="144" t="str">
        <f>IFERROR(VLOOKUP($B59,tarif,5,FALSE)*$E59,"")</f>
        <v/>
      </c>
    </row>
    <row r="60" spans="1:7" ht="32.1" customHeight="1" thickTop="1" thickBot="1">
      <c r="A60" s="198" t="s">
        <v>88</v>
      </c>
      <c r="B60" s="199" t="s">
        <v>176</v>
      </c>
      <c r="C60" s="200" t="s">
        <v>175</v>
      </c>
      <c r="D60" s="243" t="s">
        <v>189</v>
      </c>
      <c r="E60" s="244"/>
      <c r="F60" s="243" t="s">
        <v>190</v>
      </c>
      <c r="G60" s="244"/>
    </row>
    <row r="61" spans="1:7" ht="32.1" customHeight="1" thickTop="1" thickBot="1">
      <c r="A61" s="201" t="s">
        <v>89</v>
      </c>
      <c r="B61" s="202">
        <f>SUMIF(D42:D59,1,F42:F59)</f>
        <v>0</v>
      </c>
      <c r="C61" s="203">
        <f>+B61*0.1</f>
        <v>0</v>
      </c>
      <c r="D61" s="245">
        <f>+B61</f>
        <v>0</v>
      </c>
      <c r="E61" s="246"/>
      <c r="F61" s="239">
        <f>SUM(C61:E61)+SUM(C62:E62)</f>
        <v>0</v>
      </c>
      <c r="G61" s="240"/>
    </row>
    <row r="62" spans="1:7" ht="32.1" customHeight="1" thickTop="1" thickBot="1">
      <c r="A62" s="204" t="s">
        <v>90</v>
      </c>
      <c r="B62" s="205">
        <f>SUMIF(D42:D59,2,F42:F59)</f>
        <v>0</v>
      </c>
      <c r="C62" s="206">
        <f>+B62*0.2</f>
        <v>0</v>
      </c>
      <c r="D62" s="245">
        <f>+B62</f>
        <v>0</v>
      </c>
      <c r="E62" s="246"/>
      <c r="F62" s="241"/>
      <c r="G62" s="242"/>
    </row>
    <row r="63" spans="1:7" ht="13.5" thickTop="1">
      <c r="A63" s="110"/>
      <c r="B63" s="110"/>
      <c r="C63" s="110"/>
      <c r="D63" s="110"/>
      <c r="E63" s="110"/>
      <c r="F63" s="110"/>
      <c r="G63" s="110"/>
    </row>
    <row r="64" spans="1:7" s="11" customFormat="1" ht="20.25" customHeight="1">
      <c r="A64" s="110"/>
      <c r="B64" s="110"/>
      <c r="C64" s="110"/>
      <c r="D64" s="110"/>
      <c r="E64" s="110"/>
      <c r="F64" s="110"/>
      <c r="G64" s="110"/>
    </row>
    <row r="65" spans="1:7" s="11" customFormat="1" ht="39.75" customHeight="1">
      <c r="A65" s="110"/>
      <c r="B65" s="110"/>
      <c r="C65" s="110"/>
      <c r="D65" s="110"/>
      <c r="E65" s="110"/>
      <c r="F65" s="110"/>
      <c r="G65" s="110"/>
    </row>
    <row r="66" spans="1:7" s="11" customFormat="1" ht="39.75" customHeight="1">
      <c r="A66" s="131"/>
      <c r="B66" s="110"/>
      <c r="C66" s="110"/>
      <c r="D66" s="110"/>
      <c r="E66" s="110"/>
      <c r="F66" s="110"/>
      <c r="G66" s="110"/>
    </row>
    <row r="67" spans="1:7" s="11" customFormat="1" ht="24" customHeight="1">
      <c r="A67" s="110"/>
      <c r="B67" s="110"/>
      <c r="C67" s="110"/>
      <c r="D67" s="110"/>
      <c r="E67" s="110"/>
      <c r="F67" s="110"/>
      <c r="G67" s="110"/>
    </row>
    <row r="68" spans="1:7" s="11" customFormat="1" ht="18.75" customHeight="1">
      <c r="A68" s="110"/>
      <c r="B68" s="110"/>
      <c r="C68" s="110"/>
      <c r="D68" s="110"/>
      <c r="E68" s="110"/>
      <c r="F68" s="110"/>
      <c r="G68" s="110"/>
    </row>
    <row r="69" spans="1:7" s="11" customFormat="1" ht="12.75" customHeight="1">
      <c r="A69" s="110"/>
      <c r="B69" s="110"/>
      <c r="C69" s="110"/>
      <c r="D69" s="110"/>
      <c r="E69" s="110"/>
      <c r="F69" s="110"/>
      <c r="G69" s="110"/>
    </row>
    <row r="70" spans="1:7" s="11" customFormat="1" ht="12.75" customHeight="1">
      <c r="A70" s="110"/>
      <c r="B70" s="110"/>
      <c r="C70" s="110"/>
      <c r="D70" s="110"/>
      <c r="E70" s="110"/>
      <c r="F70" s="110"/>
      <c r="G70" s="110"/>
    </row>
    <row r="71" spans="1:7" s="11" customFormat="1" ht="12.75" customHeight="1">
      <c r="A71" s="110"/>
      <c r="B71" s="110"/>
      <c r="C71" s="110"/>
      <c r="D71" s="110"/>
      <c r="E71" s="110"/>
      <c r="F71" s="110"/>
      <c r="G71" s="110"/>
    </row>
    <row r="72" spans="1:7" s="11" customFormat="1" ht="12.75" customHeight="1">
      <c r="A72" s="110"/>
      <c r="B72" s="110"/>
      <c r="C72" s="110"/>
      <c r="D72" s="110"/>
      <c r="E72" s="110"/>
      <c r="F72" s="110"/>
      <c r="G72" s="110"/>
    </row>
    <row r="73" spans="1:7" s="11" customFormat="1">
      <c r="A73" s="110"/>
      <c r="B73" s="110"/>
      <c r="C73" s="110"/>
      <c r="D73" s="110"/>
      <c r="E73" s="110"/>
      <c r="F73" s="110"/>
      <c r="G73" s="110"/>
    </row>
    <row r="74" spans="1:7" s="11" customFormat="1" ht="12.75" customHeight="1">
      <c r="A74" s="110"/>
      <c r="B74" s="110"/>
      <c r="C74" s="110"/>
      <c r="D74" s="110"/>
      <c r="E74" s="110"/>
      <c r="F74" s="110"/>
      <c r="G74" s="110"/>
    </row>
    <row r="75" spans="1:7" s="11" customFormat="1" ht="18.75">
      <c r="A75" s="136"/>
      <c r="B75" s="129"/>
      <c r="C75" s="110"/>
      <c r="D75" s="110"/>
      <c r="E75" s="110"/>
      <c r="F75" s="110"/>
      <c r="G75" s="110"/>
    </row>
    <row r="76" spans="1:7" s="11" customFormat="1">
      <c r="A76" s="110"/>
      <c r="B76" s="110"/>
      <c r="C76" s="110"/>
      <c r="D76" s="110"/>
      <c r="E76" s="110"/>
      <c r="F76" s="110"/>
      <c r="G76" s="110"/>
    </row>
    <row r="77" spans="1:7" s="11" customFormat="1">
      <c r="A77" s="110"/>
      <c r="B77" s="110"/>
      <c r="C77" s="110"/>
      <c r="D77" s="110"/>
      <c r="E77" s="110"/>
      <c r="F77" s="110"/>
      <c r="G77" s="110"/>
    </row>
    <row r="78" spans="1:7" s="11" customFormat="1">
      <c r="A78" s="110"/>
      <c r="B78" s="110"/>
      <c r="C78" s="110"/>
      <c r="D78" s="110"/>
      <c r="E78" s="110"/>
      <c r="F78" s="110"/>
      <c r="G78" s="110"/>
    </row>
    <row r="79" spans="1:7" s="11" customFormat="1">
      <c r="A79" s="110"/>
      <c r="B79" s="110"/>
      <c r="C79" s="110"/>
      <c r="D79" s="110"/>
      <c r="E79" s="110"/>
      <c r="F79" s="110"/>
      <c r="G79" s="110"/>
    </row>
    <row r="80" spans="1:7" s="11" customFormat="1">
      <c r="A80" s="110"/>
      <c r="B80" s="110"/>
      <c r="C80" s="110"/>
      <c r="D80" s="110"/>
      <c r="E80" s="110"/>
      <c r="F80" s="110"/>
      <c r="G80" s="110"/>
    </row>
    <row r="81" spans="1:7" s="11" customFormat="1">
      <c r="A81" s="110"/>
      <c r="B81" s="110"/>
      <c r="C81" s="110"/>
      <c r="D81" s="110"/>
      <c r="E81" s="110"/>
      <c r="F81" s="110"/>
      <c r="G81" s="110"/>
    </row>
    <row r="82" spans="1:7" s="11" customFormat="1">
      <c r="A82" s="110"/>
      <c r="B82" s="110"/>
      <c r="C82" s="110"/>
      <c r="D82" s="110"/>
      <c r="E82" s="110"/>
      <c r="F82" s="110"/>
      <c r="G82" s="110"/>
    </row>
    <row r="83" spans="1:7" s="11" customFormat="1">
      <c r="A83" s="110"/>
      <c r="B83" s="110"/>
      <c r="C83" s="110"/>
      <c r="D83" s="110"/>
      <c r="E83" s="110"/>
      <c r="F83" s="110"/>
      <c r="G83" s="110"/>
    </row>
    <row r="84" spans="1:7" s="11" customFormat="1">
      <c r="A84" s="110"/>
      <c r="B84" s="110"/>
      <c r="C84" s="110"/>
      <c r="D84" s="110"/>
      <c r="E84" s="110"/>
      <c r="F84" s="110"/>
      <c r="G84" s="110"/>
    </row>
    <row r="85" spans="1:7" s="11" customFormat="1">
      <c r="A85" s="110"/>
      <c r="B85" s="110"/>
      <c r="C85" s="110"/>
      <c r="D85" s="110"/>
      <c r="E85" s="110"/>
      <c r="F85" s="110"/>
      <c r="G85" s="110"/>
    </row>
    <row r="86" spans="1:7" s="11" customFormat="1">
      <c r="A86" s="110"/>
      <c r="B86" s="110"/>
      <c r="C86" s="110"/>
      <c r="D86" s="110"/>
      <c r="E86" s="110"/>
      <c r="F86" s="110"/>
      <c r="G86" s="110"/>
    </row>
    <row r="87" spans="1:7" s="11" customFormat="1">
      <c r="A87" s="110"/>
      <c r="B87" s="110"/>
      <c r="C87" s="110"/>
      <c r="D87" s="110"/>
      <c r="E87" s="110"/>
      <c r="F87" s="110"/>
      <c r="G87" s="110"/>
    </row>
    <row r="88" spans="1:7" s="11" customFormat="1">
      <c r="A88" s="110"/>
      <c r="B88" s="110"/>
      <c r="C88" s="110"/>
      <c r="D88" s="110"/>
      <c r="E88" s="110"/>
      <c r="F88" s="110"/>
      <c r="G88" s="110"/>
    </row>
    <row r="89" spans="1:7" s="11" customFormat="1">
      <c r="A89" s="110"/>
      <c r="B89" s="110"/>
      <c r="C89" s="110"/>
      <c r="D89" s="110"/>
      <c r="E89" s="110"/>
      <c r="F89" s="110"/>
      <c r="G89" s="110"/>
    </row>
    <row r="90" spans="1:7" s="11" customFormat="1">
      <c r="A90" s="110"/>
      <c r="B90" s="110"/>
      <c r="C90" s="110"/>
      <c r="D90" s="110"/>
      <c r="E90" s="110"/>
      <c r="F90" s="110"/>
      <c r="G90" s="110"/>
    </row>
    <row r="91" spans="1:7" s="11" customFormat="1">
      <c r="A91" s="110"/>
      <c r="B91" s="110"/>
      <c r="C91" s="110"/>
      <c r="D91" s="110"/>
      <c r="E91" s="110"/>
      <c r="F91" s="110"/>
      <c r="G91" s="110"/>
    </row>
    <row r="92" spans="1:7" s="11" customFormat="1">
      <c r="A92" s="110"/>
      <c r="B92" s="110"/>
      <c r="C92" s="110"/>
      <c r="D92" s="110"/>
      <c r="E92" s="110"/>
      <c r="F92" s="110"/>
      <c r="G92" s="110"/>
    </row>
    <row r="93" spans="1:7" s="11" customFormat="1">
      <c r="A93" s="110"/>
      <c r="B93" s="110"/>
      <c r="C93" s="110"/>
      <c r="D93" s="110"/>
      <c r="E93" s="110"/>
      <c r="F93" s="110"/>
      <c r="G93" s="110"/>
    </row>
    <row r="94" spans="1:7" s="11" customFormat="1">
      <c r="A94" s="110"/>
      <c r="B94" s="110"/>
      <c r="C94" s="110"/>
      <c r="D94" s="110"/>
      <c r="E94" s="110"/>
      <c r="F94" s="110"/>
      <c r="G94" s="110"/>
    </row>
    <row r="95" spans="1:7" s="11" customFormat="1">
      <c r="A95" s="110"/>
      <c r="B95" s="110"/>
      <c r="C95" s="110"/>
      <c r="D95" s="110"/>
      <c r="E95" s="110"/>
      <c r="F95" s="110"/>
      <c r="G95" s="110"/>
    </row>
    <row r="96" spans="1:7" s="11" customFormat="1">
      <c r="A96" s="110"/>
      <c r="B96" s="110"/>
      <c r="C96" s="110"/>
      <c r="D96" s="110"/>
      <c r="E96" s="110"/>
      <c r="F96" s="110"/>
      <c r="G96" s="110"/>
    </row>
    <row r="97" spans="1:7" s="11" customFormat="1">
      <c r="A97" s="110"/>
      <c r="B97" s="110"/>
      <c r="C97" s="110"/>
      <c r="D97" s="110"/>
      <c r="E97" s="110"/>
      <c r="F97" s="110"/>
      <c r="G97" s="110"/>
    </row>
    <row r="98" spans="1:7" s="11" customFormat="1">
      <c r="A98" s="110"/>
      <c r="B98" s="110"/>
      <c r="C98" s="110"/>
      <c r="D98" s="110"/>
      <c r="E98" s="110"/>
      <c r="F98" s="110"/>
      <c r="G98" s="110"/>
    </row>
    <row r="99" spans="1:7" s="11" customFormat="1">
      <c r="A99" s="110"/>
      <c r="B99" s="110"/>
      <c r="C99" s="110"/>
      <c r="D99" s="110"/>
      <c r="E99" s="110"/>
      <c r="F99" s="110"/>
      <c r="G99" s="110"/>
    </row>
    <row r="100" spans="1:7" s="11" customFormat="1">
      <c r="A100" s="110"/>
      <c r="B100" s="110"/>
      <c r="C100" s="110"/>
      <c r="D100" s="110"/>
      <c r="E100" s="110"/>
      <c r="F100" s="110"/>
      <c r="G100" s="110"/>
    </row>
    <row r="101" spans="1:7" s="11" customFormat="1">
      <c r="A101" s="110"/>
      <c r="B101" s="110"/>
      <c r="C101" s="110"/>
      <c r="D101" s="110"/>
      <c r="E101" s="110"/>
      <c r="F101" s="110"/>
      <c r="G101" s="110"/>
    </row>
    <row r="102" spans="1:7" s="11" customFormat="1">
      <c r="A102" s="110"/>
      <c r="B102" s="110"/>
      <c r="C102" s="110"/>
      <c r="D102" s="110"/>
      <c r="E102" s="110"/>
      <c r="F102" s="110"/>
      <c r="G102" s="110"/>
    </row>
    <row r="103" spans="1:7" s="11" customFormat="1">
      <c r="A103" s="110"/>
      <c r="B103" s="110"/>
      <c r="C103" s="110"/>
      <c r="D103" s="110"/>
      <c r="E103" s="110"/>
      <c r="F103" s="110"/>
      <c r="G103" s="110"/>
    </row>
    <row r="104" spans="1:7" s="11" customFormat="1">
      <c r="A104" s="110"/>
      <c r="B104" s="110"/>
      <c r="C104" s="110"/>
      <c r="D104" s="110"/>
      <c r="E104" s="110"/>
      <c r="F104" s="110"/>
      <c r="G104" s="110"/>
    </row>
    <row r="105" spans="1:7" s="11" customFormat="1">
      <c r="A105" s="110"/>
      <c r="B105" s="110"/>
      <c r="C105" s="110"/>
      <c r="D105" s="110"/>
      <c r="E105" s="110"/>
      <c r="F105" s="110"/>
      <c r="G105" s="110"/>
    </row>
    <row r="106" spans="1:7" s="11" customFormat="1">
      <c r="A106" s="110"/>
      <c r="B106" s="110"/>
      <c r="C106" s="110"/>
      <c r="D106" s="110"/>
      <c r="E106" s="110"/>
      <c r="F106" s="110"/>
      <c r="G106" s="110"/>
    </row>
    <row r="107" spans="1:7" s="11" customFormat="1">
      <c r="A107" s="110"/>
      <c r="B107" s="110"/>
      <c r="C107" s="110"/>
      <c r="D107" s="110"/>
      <c r="E107" s="110"/>
      <c r="F107" s="110"/>
      <c r="G107" s="110"/>
    </row>
    <row r="108" spans="1:7" s="11" customFormat="1">
      <c r="A108" s="110"/>
      <c r="B108" s="110"/>
      <c r="C108" s="110"/>
      <c r="D108" s="110"/>
      <c r="E108" s="110"/>
      <c r="F108" s="110"/>
      <c r="G108" s="110"/>
    </row>
    <row r="109" spans="1:7" s="11" customFormat="1">
      <c r="A109" s="110"/>
      <c r="B109" s="110"/>
      <c r="C109" s="110"/>
      <c r="D109" s="110"/>
      <c r="E109" s="110"/>
      <c r="F109" s="110"/>
      <c r="G109" s="110"/>
    </row>
    <row r="110" spans="1:7" s="11" customFormat="1">
      <c r="A110" s="110"/>
      <c r="B110" s="110"/>
      <c r="C110" s="110"/>
      <c r="D110" s="110"/>
      <c r="E110" s="110"/>
      <c r="F110" s="110"/>
      <c r="G110" s="110"/>
    </row>
    <row r="111" spans="1:7" s="11" customFormat="1">
      <c r="A111" s="110"/>
      <c r="B111" s="110"/>
      <c r="C111" s="110"/>
      <c r="D111" s="110"/>
      <c r="E111" s="110"/>
      <c r="F111" s="110"/>
      <c r="G111" s="110"/>
    </row>
    <row r="112" spans="1:7" s="11" customFormat="1">
      <c r="A112" s="110"/>
      <c r="B112" s="110"/>
      <c r="C112" s="110"/>
      <c r="D112" s="110"/>
      <c r="E112" s="110"/>
      <c r="F112" s="110"/>
      <c r="G112" s="110"/>
    </row>
    <row r="113" spans="1:7" s="11" customFormat="1">
      <c r="A113" s="110"/>
      <c r="B113" s="110"/>
      <c r="C113" s="110"/>
      <c r="D113" s="110"/>
      <c r="E113" s="110"/>
      <c r="F113" s="110"/>
      <c r="G113" s="110"/>
    </row>
    <row r="114" spans="1:7" s="11" customFormat="1">
      <c r="A114" s="110"/>
      <c r="B114" s="110"/>
      <c r="C114" s="110"/>
      <c r="D114" s="110"/>
      <c r="E114" s="110"/>
      <c r="F114" s="110"/>
      <c r="G114" s="110"/>
    </row>
    <row r="115" spans="1:7" s="11" customFormat="1">
      <c r="A115" s="110"/>
      <c r="B115" s="110"/>
      <c r="C115" s="110"/>
      <c r="D115" s="110"/>
      <c r="E115" s="110"/>
      <c r="F115" s="110"/>
      <c r="G115" s="110"/>
    </row>
    <row r="116" spans="1:7" s="11" customFormat="1">
      <c r="A116" s="110"/>
      <c r="B116" s="110"/>
      <c r="C116" s="110"/>
      <c r="D116" s="110"/>
      <c r="E116" s="110"/>
      <c r="F116" s="110"/>
      <c r="G116" s="110"/>
    </row>
    <row r="117" spans="1:7" s="11" customFormat="1">
      <c r="A117" s="110"/>
      <c r="B117" s="110"/>
      <c r="C117" s="110"/>
      <c r="D117" s="110"/>
      <c r="E117" s="110"/>
      <c r="F117" s="110"/>
      <c r="G117" s="110"/>
    </row>
    <row r="118" spans="1:7" s="11" customFormat="1">
      <c r="A118" s="110"/>
      <c r="B118" s="110"/>
      <c r="C118" s="110"/>
      <c r="D118" s="110"/>
      <c r="E118" s="110"/>
      <c r="F118" s="110"/>
      <c r="G118" s="110"/>
    </row>
  </sheetData>
  <protectedRanges>
    <protectedRange sqref="D67 F41:G41 E66 D64:E65 D37:E40 G64:G65 C41:D41 G37:G38 G40 C42:G59" name="Plage1_11"/>
  </protectedRanges>
  <customSheetViews>
    <customSheetView guid="{242414E6-120C-46C4-A8A3-88F120C813D3}" scale="75" showPageBreaks="1" showGridLines="0" showRowCol="0" fitToPage="1" printArea="1" topLeftCell="A61">
      <selection activeCell="J76" sqref="A1:J76"/>
      <pageMargins left="0.19685039370078741" right="0" top="0.39370078740157483" bottom="0" header="0.31496062992125984" footer="0.31496062992125984"/>
      <pageSetup paperSize="9" scale="40" orientation="portrait" r:id="rId1"/>
      <headerFooter>
        <oddHeader>&amp;L&amp;G&amp;R&amp;G</oddHeader>
      </headerFooter>
    </customSheetView>
  </customSheetViews>
  <mergeCells count="25">
    <mergeCell ref="D5:G5"/>
    <mergeCell ref="F60:G60"/>
    <mergeCell ref="D8:G8"/>
    <mergeCell ref="D10:G11"/>
    <mergeCell ref="D16:G16"/>
    <mergeCell ref="D17:G17"/>
    <mergeCell ref="D18:G18"/>
    <mergeCell ref="D9:G9"/>
    <mergeCell ref="D12:G12"/>
    <mergeCell ref="E22:G22"/>
    <mergeCell ref="E23:G23"/>
    <mergeCell ref="E24:G24"/>
    <mergeCell ref="B14:G14"/>
    <mergeCell ref="D15:G15"/>
    <mergeCell ref="H14:L14"/>
    <mergeCell ref="D19:G19"/>
    <mergeCell ref="F61:G62"/>
    <mergeCell ref="D60:E60"/>
    <mergeCell ref="D61:E61"/>
    <mergeCell ref="D62:E62"/>
    <mergeCell ref="E25:F25"/>
    <mergeCell ref="E26:G26"/>
    <mergeCell ref="E20:G21"/>
    <mergeCell ref="C20:D20"/>
    <mergeCell ref="C21:D21"/>
  </mergeCells>
  <conditionalFormatting sqref="B42 B44:B59">
    <cfRule type="expression" dxfId="0" priority="4" stopIfTrue="1">
      <formula>ISNA(MATCH(B42,OFFSET(options,1,MATCH(A42,prestations,0)-1,COUNTA(OFFSET(options,,MATCH(A42,prestations,0)-1))-1),0))</formula>
    </cfRule>
  </conditionalFormatting>
  <dataValidations disablePrompts="1" count="10">
    <dataValidation type="list" allowBlank="1" showInputMessage="1" showErrorMessage="1" sqref="E25">
      <formula1>Règlement</formula1>
    </dataValidation>
    <dataValidation type="textLength" operator="greaterThan" allowBlank="1" showInputMessage="1" showErrorMessage="1" sqref="B20">
      <formula1>0</formula1>
    </dataValidation>
    <dataValidation type="list" allowBlank="1" showInputMessage="1" showErrorMessage="1" sqref="A44:A59">
      <formula1>prestations</formula1>
    </dataValidation>
    <dataValidation type="list" allowBlank="1" showInputMessage="1" showErrorMessage="1" sqref="B44:B59">
      <formula1>OFFSET(options,1,MATCH(A44,prestations,0)-1,COUNTA(OFFSET(options,,MATCH(A44,prestations,0)-1))-1)</formula1>
    </dataValidation>
    <dataValidation type="whole" allowBlank="1" showInputMessage="1" showErrorMessage="1" error="Nombre entier uniquement" sqref="E42:E59">
      <formula1>0</formula1>
      <formula2>100</formula2>
    </dataValidation>
    <dataValidation type="date" operator="equal" allowBlank="1" showInputMessage="1" showErrorMessage="1" sqref="B15">
      <formula1>B15</formula1>
    </dataValidation>
    <dataValidation type="list" allowBlank="1" showInputMessage="1" showErrorMessage="1" sqref="B31">
      <formula1>lieux</formula1>
    </dataValidation>
    <dataValidation type="list" allowBlank="1" showInputMessage="1" showErrorMessage="1" sqref="B42">
      <formula1>Livraison_et_Personnel_TVA_20</formula1>
    </dataValidation>
    <dataValidation type="list" allowBlank="1" showInputMessage="1" showErrorMessage="1" sqref="B43">
      <formula1>Location_de_salle_AURI_TVA_à_20</formula1>
    </dataValidation>
    <dataValidation type="list" allowBlank="1" showInputMessage="1" showErrorMessage="1" sqref="A17">
      <formula1>Type_de_client</formula1>
    </dataValidation>
  </dataValidations>
  <printOptions horizontalCentered="1"/>
  <pageMargins left="0.19685039370078741" right="0" top="0.39370078740157483" bottom="0" header="0.31496062992125984" footer="0.31496062992125984"/>
  <pageSetup paperSize="9" scale="36" orientation="portrait" r:id="rId2"/>
  <ignoredErrors>
    <ignoredError sqref="E42:E43 E44:E59" unlockedFormula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55" zoomScaleNormal="55" workbookViewId="0">
      <selection activeCell="D5" sqref="D5"/>
    </sheetView>
  </sheetViews>
  <sheetFormatPr baseColWidth="10" defaultRowHeight="12.75"/>
  <cols>
    <col min="1" max="1" width="45" style="130" customWidth="1"/>
    <col min="2" max="2" width="59.28515625" style="130" customWidth="1"/>
    <col min="3" max="3" width="33.140625" style="130" customWidth="1"/>
    <col min="4" max="4" width="10.7109375" style="130" customWidth="1"/>
    <col min="5" max="5" width="15.42578125" style="130" customWidth="1"/>
    <col min="6" max="6" width="18.140625" style="130" customWidth="1"/>
    <col min="7" max="7" width="30.28515625" style="130" customWidth="1"/>
  </cols>
  <sheetData>
    <row r="1" spans="1:19" ht="31.5" customHeight="1">
      <c r="B1" s="266" t="s">
        <v>214</v>
      </c>
    </row>
    <row r="2" spans="1:19" ht="31.5" customHeight="1">
      <c r="B2" s="266"/>
    </row>
    <row r="3" spans="1:19" ht="31.5" customHeight="1">
      <c r="B3" s="266" t="s">
        <v>196</v>
      </c>
    </row>
    <row r="4" spans="1:19" ht="31.5" customHeight="1">
      <c r="B4" s="266">
        <f>'DEVIS AURI'!A12</f>
        <v>0</v>
      </c>
    </row>
    <row r="5" spans="1:19" ht="31.5" customHeight="1">
      <c r="B5" s="266">
        <f>+'DEVIS AURI'!D12</f>
        <v>0</v>
      </c>
    </row>
    <row r="6" spans="1:19" ht="31.5" customHeight="1">
      <c r="B6" s="266"/>
    </row>
    <row r="7" spans="1:19" ht="31.5" customHeight="1"/>
    <row r="8" spans="1:19" ht="30" customHeight="1"/>
    <row r="9" spans="1:19" ht="30" customHeight="1"/>
    <row r="10" spans="1:19" ht="46.5">
      <c r="A10" s="256" t="s">
        <v>6</v>
      </c>
      <c r="B10" s="256"/>
      <c r="D10" s="272">
        <f>+'DEVIS AURI'!D15</f>
        <v>0</v>
      </c>
      <c r="E10" s="272"/>
      <c r="F10" s="272"/>
      <c r="G10" s="272"/>
    </row>
    <row r="11" spans="1:19" ht="46.5">
      <c r="A11" s="156" t="s">
        <v>181</v>
      </c>
      <c r="B11" s="175">
        <f>+'DEVIS AURI'!B15</f>
        <v>0</v>
      </c>
      <c r="D11" s="257">
        <f>+'DEVIS AURI'!D16</f>
        <v>0</v>
      </c>
      <c r="E11" s="257"/>
      <c r="F11" s="257"/>
      <c r="G11" s="257"/>
    </row>
    <row r="12" spans="1:19" ht="46.5">
      <c r="A12" s="154" t="s">
        <v>180</v>
      </c>
      <c r="B12" s="115">
        <f>+'DEVIS AURI'!B16</f>
        <v>0</v>
      </c>
      <c r="D12" s="329">
        <f>+'DEVIS AURI'!D17</f>
        <v>0</v>
      </c>
      <c r="E12" s="330"/>
      <c r="F12" s="330"/>
      <c r="G12" s="330"/>
    </row>
    <row r="13" spans="1:19" s="32" customFormat="1" ht="27" customHeight="1">
      <c r="A13" s="148" t="str">
        <f>+'DEVIS AURI'!A17</f>
        <v>Type de client :</v>
      </c>
      <c r="B13" s="115">
        <f>+'DEVIS AURI'!B17</f>
        <v>0</v>
      </c>
      <c r="C13" s="132"/>
      <c r="D13" s="331">
        <f>+'DEVIS AURI'!D18</f>
        <v>0</v>
      </c>
      <c r="E13" s="331"/>
      <c r="F13" s="332">
        <f>+'DEVIS AURI'!D19</f>
        <v>0</v>
      </c>
      <c r="G13" s="332"/>
    </row>
    <row r="14" spans="1:19" s="32" customFormat="1" ht="20.100000000000001" customHeight="1">
      <c r="A14" s="148" t="str">
        <f>+'DEVIS AURI'!A18</f>
        <v>Adresse :</v>
      </c>
      <c r="B14" s="115">
        <f>+'DEVIS AURI'!B18</f>
        <v>0</v>
      </c>
      <c r="C14" s="103"/>
      <c r="D14" s="187"/>
      <c r="E14" s="188"/>
      <c r="F14" s="188"/>
      <c r="G14" s="188"/>
      <c r="R14" s="149"/>
      <c r="S14" s="115"/>
    </row>
    <row r="15" spans="1:19" s="18" customFormat="1" ht="38.25" customHeight="1">
      <c r="A15" s="148" t="str">
        <f>+'DEVIS AURI'!A19</f>
        <v>Code Postal :</v>
      </c>
      <c r="B15" s="115">
        <f>+'DEVIS AURI'!B19</f>
        <v>0</v>
      </c>
      <c r="C15" s="182"/>
      <c r="R15" s="154"/>
      <c r="S15" s="115"/>
    </row>
    <row r="16" spans="1:19" s="33" customFormat="1" ht="36.75" customHeight="1">
      <c r="A16" s="148" t="str">
        <f>+'DEVIS AURI'!A20</f>
        <v>Ville :</v>
      </c>
      <c r="B16" s="115">
        <f>+'DEVIS AURI'!B20</f>
        <v>0</v>
      </c>
      <c r="C16" s="182"/>
    </row>
    <row r="17" spans="1:13" s="33" customFormat="1" ht="36.75" customHeight="1">
      <c r="A17" s="148" t="str">
        <f>+'DEVIS AURI'!A21</f>
        <v>Organisateur :</v>
      </c>
      <c r="B17" s="115">
        <f>+'DEVIS AURI'!B21</f>
        <v>0</v>
      </c>
      <c r="C17" s="183"/>
    </row>
    <row r="18" spans="1:13" s="32" customFormat="1" ht="36.75" customHeight="1">
      <c r="A18" s="148" t="str">
        <f>+'DEVIS AURI'!A22</f>
        <v>N° de téléphone :</v>
      </c>
      <c r="B18" s="115">
        <f>+'DEVIS AURI'!B22</f>
        <v>0</v>
      </c>
      <c r="C18" s="184"/>
    </row>
    <row r="19" spans="1:13" s="32" customFormat="1" ht="36.75" customHeight="1">
      <c r="A19" s="148" t="str">
        <f>+'DEVIS AURI'!A23</f>
        <v>adresse mail :</v>
      </c>
      <c r="B19" s="226">
        <f>+'DEVIS AURI'!B23</f>
        <v>0</v>
      </c>
      <c r="C19" s="167"/>
    </row>
    <row r="20" spans="1:13" s="11" customFormat="1" ht="36" customHeight="1">
      <c r="A20" s="238" t="s">
        <v>191</v>
      </c>
      <c r="B20" s="238"/>
      <c r="C20" s="185"/>
      <c r="D20" s="189"/>
      <c r="E20" s="189"/>
      <c r="F20" s="189"/>
      <c r="G20" s="189"/>
    </row>
    <row r="21" spans="1:13" s="11" customFormat="1" ht="19.899999999999999" customHeight="1">
      <c r="A21" s="147" t="str">
        <f>+'DEVIS AURI'!C20</f>
        <v xml:space="preserve">Nom de la persone
</v>
      </c>
      <c r="B21" s="231">
        <f>+'DEVIS AURI'!D20</f>
        <v>0</v>
      </c>
      <c r="C21" s="168"/>
      <c r="D21" s="190"/>
      <c r="E21" s="190"/>
      <c r="F21" s="190"/>
      <c r="G21" s="190"/>
    </row>
    <row r="22" spans="1:13" s="11" customFormat="1" ht="29.25" customHeight="1">
      <c r="A22" s="147" t="str">
        <f>+'DEVIS AURI'!C21</f>
        <v>Chargé du Paiement :</v>
      </c>
      <c r="B22" s="231">
        <f>+'DEVIS AURI'!D21</f>
        <v>0</v>
      </c>
      <c r="C22" s="103"/>
      <c r="D22" s="186" t="s">
        <v>203</v>
      </c>
      <c r="E22" s="186"/>
      <c r="F22" s="186"/>
      <c r="G22" s="186"/>
    </row>
    <row r="23" spans="1:13" s="11" customFormat="1" ht="29.25" customHeight="1">
      <c r="A23" s="147" t="str">
        <f>+'DEVIS AURI'!C22</f>
        <v>Tel :</v>
      </c>
      <c r="B23" s="231">
        <f>+'DEVIS AURI'!D22</f>
        <v>0</v>
      </c>
      <c r="C23" s="111"/>
      <c r="D23" s="271">
        <f ca="1">TODAY()</f>
        <v>42963</v>
      </c>
      <c r="E23" s="271"/>
      <c r="F23" s="186"/>
      <c r="G23" s="186"/>
    </row>
    <row r="24" spans="1:13" s="11" customFormat="1" ht="19.899999999999999" customHeight="1">
      <c r="A24" s="147" t="str">
        <f>+'DEVIS AURI'!C23</f>
        <v>mail :</v>
      </c>
      <c r="B24" s="231">
        <f>+'DEVIS AURI'!D23</f>
        <v>0</v>
      </c>
      <c r="C24" s="111"/>
    </row>
    <row r="25" spans="1:13" s="11" customFormat="1" ht="15.75">
      <c r="A25" s="147" t="s">
        <v>212</v>
      </c>
      <c r="B25" s="231">
        <f>+'DEVIS AURI'!E24</f>
        <v>0</v>
      </c>
      <c r="C25" s="112"/>
      <c r="D25" s="112"/>
      <c r="E25" s="112"/>
      <c r="F25" s="112"/>
      <c r="G25" s="112"/>
    </row>
    <row r="26" spans="1:13" s="11" customFormat="1" ht="15.75">
      <c r="A26" s="147" t="str">
        <f>+'DEVIS AURI'!C25</f>
        <v>Mode de règlement :</v>
      </c>
      <c r="B26" s="231" t="str">
        <f>+'DEVIS AURI'!E25</f>
        <v>Mode de règlement</v>
      </c>
      <c r="C26" s="112"/>
      <c r="D26" s="112"/>
      <c r="E26" s="112"/>
      <c r="F26" s="112"/>
      <c r="G26" s="112"/>
    </row>
    <row r="27" spans="1:13" s="11" customFormat="1" ht="15.75">
      <c r="A27" s="147" t="str">
        <f>+'DEVIS AURI'!C26</f>
        <v/>
      </c>
      <c r="B27" s="231" t="str">
        <f>IF(ISBLANK('DEVIS AURI'!E26),"",'DEVIS AURI'!E26)</f>
        <v/>
      </c>
      <c r="C27" s="112"/>
      <c r="D27" s="112"/>
      <c r="E27" s="112"/>
      <c r="F27" s="112"/>
      <c r="G27" s="112"/>
    </row>
    <row r="28" spans="1:13" s="96" customFormat="1" ht="38.450000000000003" customHeight="1">
      <c r="A28" s="269" t="s">
        <v>12</v>
      </c>
      <c r="B28" s="269"/>
      <c r="C28" s="269"/>
      <c r="D28" s="269"/>
      <c r="E28" s="269"/>
      <c r="F28" s="269"/>
      <c r="G28" s="269"/>
      <c r="M28" s="155"/>
    </row>
    <row r="29" spans="1:13" s="96" customFormat="1" ht="20.100000000000001" customHeight="1">
      <c r="A29" s="116"/>
      <c r="B29" s="116"/>
      <c r="C29" s="116"/>
      <c r="D29" s="116"/>
      <c r="E29" s="116"/>
      <c r="F29" s="116"/>
      <c r="G29" s="116"/>
    </row>
    <row r="30" spans="1:13" s="96" customFormat="1" ht="20.100000000000001" customHeight="1">
      <c r="A30" s="149" t="s">
        <v>169</v>
      </c>
      <c r="B30" s="151">
        <f>+'DEVIS AURI'!B29</f>
        <v>0</v>
      </c>
      <c r="C30" s="118"/>
      <c r="D30" s="117"/>
      <c r="E30" s="118"/>
      <c r="F30" s="118"/>
      <c r="G30" s="118"/>
    </row>
    <row r="31" spans="1:13" s="96" customFormat="1" ht="20.100000000000001" customHeight="1">
      <c r="A31" s="149" t="s">
        <v>173</v>
      </c>
      <c r="B31" s="151">
        <f>+'DEVIS AURI'!B30</f>
        <v>0</v>
      </c>
      <c r="C31" s="118"/>
      <c r="D31" s="119"/>
      <c r="E31" s="120"/>
      <c r="F31" s="118"/>
      <c r="G31" s="118"/>
    </row>
    <row r="32" spans="1:13" s="96" customFormat="1" ht="20.100000000000001" customHeight="1">
      <c r="A32" s="152" t="s">
        <v>179</v>
      </c>
      <c r="B32" s="151" t="str">
        <f>+'DEVIS AURI'!B31</f>
        <v>Choisir un lieu</v>
      </c>
      <c r="C32" s="118"/>
      <c r="D32" s="119"/>
      <c r="E32" s="120"/>
      <c r="F32" s="118"/>
      <c r="G32" s="118"/>
    </row>
    <row r="33" spans="1:7" s="96" customFormat="1" ht="20.100000000000001" customHeight="1">
      <c r="A33" s="153" t="s">
        <v>20</v>
      </c>
      <c r="B33" s="151" t="str">
        <f>+'DEVIS AURI'!B32</f>
        <v/>
      </c>
      <c r="C33" s="116"/>
      <c r="D33" s="116"/>
      <c r="E33" s="116"/>
      <c r="F33" s="116"/>
      <c r="G33" s="116"/>
    </row>
    <row r="34" spans="1:7" s="96" customFormat="1" ht="20.100000000000001" customHeight="1">
      <c r="A34" s="157" t="str">
        <f>+'DEVIS AURI'!A33</f>
        <v/>
      </c>
      <c r="B34" s="270" t="str">
        <f>IF(ISBLANK('DEVIS AURI'!B33)," ",'DEVIS AURI'!B33)</f>
        <v xml:space="preserve"> </v>
      </c>
      <c r="C34" s="270"/>
      <c r="D34" s="270"/>
      <c r="E34" s="270"/>
      <c r="F34" s="270"/>
      <c r="G34" s="270"/>
    </row>
    <row r="35" spans="1:7" s="96" customFormat="1" ht="20.100000000000001" customHeight="1">
      <c r="B35" s="121"/>
      <c r="C35" s="117"/>
      <c r="D35" s="117"/>
      <c r="E35" s="117"/>
      <c r="F35" s="117"/>
      <c r="G35" s="117"/>
    </row>
    <row r="36" spans="1:7" s="96" customFormat="1" ht="20.100000000000001" customHeight="1">
      <c r="A36" s="137" t="s">
        <v>174</v>
      </c>
      <c r="B36" s="122"/>
      <c r="C36" s="122"/>
      <c r="D36" s="122"/>
      <c r="E36" s="122"/>
      <c r="F36" s="122"/>
      <c r="G36" s="122"/>
    </row>
    <row r="37" spans="1:7" s="11" customFormat="1" ht="63" customHeight="1">
      <c r="A37" s="267" t="str">
        <f>IF(ISBLANK('DEVIS AURI'!A36),"",'DEVIS AURI'!A36)</f>
        <v/>
      </c>
      <c r="B37" s="268"/>
      <c r="C37" s="268"/>
      <c r="D37" s="268"/>
      <c r="E37" s="268"/>
      <c r="F37" s="268"/>
      <c r="G37" s="268"/>
    </row>
    <row r="38" spans="1:7" s="11" customFormat="1" ht="18" customHeight="1">
      <c r="A38" s="123"/>
      <c r="B38" s="140"/>
      <c r="C38" s="123"/>
      <c r="D38" s="123"/>
      <c r="E38" s="123"/>
      <c r="F38" s="123"/>
      <c r="G38" s="123"/>
    </row>
    <row r="39" spans="1:7" s="11" customFormat="1" ht="0.75" customHeight="1">
      <c r="A39" s="110"/>
      <c r="B39" s="141"/>
      <c r="C39" s="110"/>
      <c r="D39" s="110"/>
      <c r="E39" s="110"/>
      <c r="F39" s="110"/>
      <c r="G39" s="110"/>
    </row>
    <row r="40" spans="1:7" s="11" customFormat="1" ht="61.5" customHeight="1">
      <c r="A40" s="143" t="s">
        <v>86</v>
      </c>
      <c r="B40" s="142"/>
      <c r="C40" s="133"/>
      <c r="D40" s="133"/>
      <c r="E40" s="133"/>
      <c r="F40" s="133"/>
      <c r="G40" s="134"/>
    </row>
    <row r="41" spans="1:7" s="11" customFormat="1" ht="15">
      <c r="A41" s="114"/>
      <c r="B41" s="114"/>
      <c r="C41" s="114"/>
      <c r="D41" s="114"/>
      <c r="E41" s="114"/>
      <c r="F41" s="114"/>
      <c r="G41" s="114"/>
    </row>
    <row r="42" spans="1:7" s="11" customFormat="1" ht="52.5" customHeight="1">
      <c r="A42" s="138" t="s">
        <v>198</v>
      </c>
      <c r="B42" s="138" t="s">
        <v>1</v>
      </c>
      <c r="C42" s="138" t="s">
        <v>2</v>
      </c>
      <c r="D42" s="138" t="s">
        <v>91</v>
      </c>
      <c r="E42" s="138" t="s">
        <v>0</v>
      </c>
      <c r="F42" s="138" t="s">
        <v>4</v>
      </c>
      <c r="G42" s="139" t="s">
        <v>11</v>
      </c>
    </row>
    <row r="43" spans="1:7" s="32" customFormat="1" ht="32.1" customHeight="1">
      <c r="A43" s="191" t="str">
        <f>IF(ISBLANK('DEVIS AURI'!A42),"",'DEVIS AURI'!A42)</f>
        <v>Livraison et Personnel TVA 20 %</v>
      </c>
      <c r="B43" s="191" t="str">
        <f>IF(ISBLANK('DEVIS AURI'!B42),"",'DEVIS AURI'!B42)</f>
        <v/>
      </c>
      <c r="C43" s="195" t="str">
        <f>IF(ISBLANK('DEVIS AURI'!C42),"",'DEVIS AURI'!C42)</f>
        <v/>
      </c>
      <c r="D43" s="191" t="str">
        <f>IF(ISBLANK('DEVIS AURI'!D42),"",'DEVIS AURI'!D42)</f>
        <v/>
      </c>
      <c r="E43" s="191" t="str">
        <f>IF(ISBLANK('DEVIS AURI'!E42),"",'DEVIS AURI'!E42)</f>
        <v/>
      </c>
      <c r="F43" s="195" t="str">
        <f>IF(ISBLANK('DEVIS AURI'!F42),"",'DEVIS AURI'!F42)</f>
        <v/>
      </c>
      <c r="G43" s="195" t="str">
        <f>IF(ISBLANK('DEVIS AURI'!G42),"",'DEVIS AURI'!G42)</f>
        <v/>
      </c>
    </row>
    <row r="44" spans="1:7" s="32" customFormat="1" ht="18.75">
      <c r="A44" s="191" t="str">
        <f>IF(ISBLANK('DEVIS AURI'!A43),"",'DEVIS AURI'!A43)</f>
        <v>Location de salle AURI TVA à 20%</v>
      </c>
      <c r="B44" s="191" t="str">
        <f>IF(ISBLANK('DEVIS AURI'!B43),"",'DEVIS AURI'!B43)</f>
        <v/>
      </c>
      <c r="C44" s="195" t="str">
        <f>IF(ISBLANK('DEVIS AURI'!C43),"",'DEVIS AURI'!C43)</f>
        <v/>
      </c>
      <c r="D44" s="191" t="str">
        <f>IF(ISBLANK('DEVIS AURI'!D43),"",'DEVIS AURI'!D43)</f>
        <v/>
      </c>
      <c r="E44" s="191" t="str">
        <f>IF(ISBLANK('DEVIS AURI'!E43),"",'DEVIS AURI'!E43)</f>
        <v/>
      </c>
      <c r="F44" s="195" t="str">
        <f>IF(ISBLANK('DEVIS AURI'!F43),"",'DEVIS AURI'!F43)</f>
        <v/>
      </c>
      <c r="G44" s="195" t="str">
        <f>IF(ISBLANK('DEVIS AURI'!G43),"",'DEVIS AURI'!G43)</f>
        <v/>
      </c>
    </row>
    <row r="45" spans="1:7" s="32" customFormat="1" ht="32.1" customHeight="1">
      <c r="A45" s="191" t="str">
        <f>IF(ISBLANK('DEVIS AURI'!A44),"",'DEVIS AURI'!A44)</f>
        <v/>
      </c>
      <c r="B45" s="191" t="str">
        <f>IF(ISBLANK('DEVIS AURI'!B44),"",'DEVIS AURI'!B44)</f>
        <v/>
      </c>
      <c r="C45" s="195" t="str">
        <f>IF(ISBLANK('DEVIS AURI'!C44),"",'DEVIS AURI'!C44)</f>
        <v/>
      </c>
      <c r="D45" s="191" t="str">
        <f>IF(ISBLANK('DEVIS AURI'!D44),"",'DEVIS AURI'!D44)</f>
        <v/>
      </c>
      <c r="E45" s="191" t="str">
        <f>IF(ISBLANK('DEVIS AURI'!E44),"",'DEVIS AURI'!E44)</f>
        <v/>
      </c>
      <c r="F45" s="195" t="str">
        <f>IF(ISBLANK('DEVIS AURI'!F44),"",'DEVIS AURI'!F44)</f>
        <v/>
      </c>
      <c r="G45" s="195" t="str">
        <f>IF(ISBLANK('DEVIS AURI'!G44),"",'DEVIS AURI'!G44)</f>
        <v/>
      </c>
    </row>
    <row r="46" spans="1:7" s="32" customFormat="1" ht="32.1" customHeight="1">
      <c r="A46" s="191" t="str">
        <f>IF(ISBLANK('DEVIS AURI'!A45),"",'DEVIS AURI'!A45)</f>
        <v/>
      </c>
      <c r="B46" s="191" t="str">
        <f>IF(ISBLANK('DEVIS AURI'!B45),"",'DEVIS AURI'!B45)</f>
        <v/>
      </c>
      <c r="C46" s="195" t="str">
        <f>IF(ISBLANK('DEVIS AURI'!C45),"",'DEVIS AURI'!C45)</f>
        <v/>
      </c>
      <c r="D46" s="191" t="str">
        <f>IF(ISBLANK('DEVIS AURI'!D45),"",'DEVIS AURI'!D45)</f>
        <v/>
      </c>
      <c r="E46" s="191" t="str">
        <f>IF(ISBLANK('DEVIS AURI'!E45),"",'DEVIS AURI'!E45)</f>
        <v/>
      </c>
      <c r="F46" s="195" t="str">
        <f>IF(ISBLANK('DEVIS AURI'!F45),"",'DEVIS AURI'!F45)</f>
        <v/>
      </c>
      <c r="G46" s="195" t="str">
        <f>IF(ISBLANK('DEVIS AURI'!G45),"",'DEVIS AURI'!G45)</f>
        <v/>
      </c>
    </row>
    <row r="47" spans="1:7" s="32" customFormat="1" ht="32.1" customHeight="1">
      <c r="A47" s="191" t="str">
        <f>IF(ISBLANK('DEVIS AURI'!A46),"",'DEVIS AURI'!A46)</f>
        <v/>
      </c>
      <c r="B47" s="191" t="str">
        <f>IF(ISBLANK('DEVIS AURI'!B46),"",'DEVIS AURI'!B46)</f>
        <v/>
      </c>
      <c r="C47" s="195" t="str">
        <f>IF(ISBLANK('DEVIS AURI'!C46),"",'DEVIS AURI'!C46)</f>
        <v/>
      </c>
      <c r="D47" s="191" t="str">
        <f>IF(ISBLANK('DEVIS AURI'!D46),"",'DEVIS AURI'!D46)</f>
        <v/>
      </c>
      <c r="E47" s="191" t="str">
        <f>IF(ISBLANK('DEVIS AURI'!E46),"",'DEVIS AURI'!E46)</f>
        <v/>
      </c>
      <c r="F47" s="195" t="str">
        <f>IF(ISBLANK('DEVIS AURI'!F46),"",'DEVIS AURI'!F46)</f>
        <v/>
      </c>
      <c r="G47" s="195" t="str">
        <f>IF(ISBLANK('DEVIS AURI'!G46),"",'DEVIS AURI'!G46)</f>
        <v/>
      </c>
    </row>
    <row r="48" spans="1:7" s="32" customFormat="1" ht="32.1" customHeight="1">
      <c r="A48" s="191" t="str">
        <f>IF(ISBLANK('DEVIS AURI'!A47),"",'DEVIS AURI'!A47)</f>
        <v/>
      </c>
      <c r="B48" s="191" t="str">
        <f>IF(ISBLANK('DEVIS AURI'!B47),"",'DEVIS AURI'!B47)</f>
        <v/>
      </c>
      <c r="C48" s="195" t="str">
        <f>IF(ISBLANK('DEVIS AURI'!C47),"",'DEVIS AURI'!C47)</f>
        <v/>
      </c>
      <c r="D48" s="191" t="str">
        <f>IF(ISBLANK('DEVIS AURI'!D47),"",'DEVIS AURI'!D47)</f>
        <v/>
      </c>
      <c r="E48" s="191" t="str">
        <f>IF(ISBLANK('DEVIS AURI'!E47),"",'DEVIS AURI'!E47)</f>
        <v/>
      </c>
      <c r="F48" s="195" t="str">
        <f>IF(ISBLANK('DEVIS AURI'!F47),"",'DEVIS AURI'!F47)</f>
        <v/>
      </c>
      <c r="G48" s="195" t="str">
        <f>IF(ISBLANK('DEVIS AURI'!G47),"",'DEVIS AURI'!G47)</f>
        <v/>
      </c>
    </row>
    <row r="49" spans="1:7" s="32" customFormat="1" ht="32.1" customHeight="1">
      <c r="A49" s="191" t="str">
        <f>IF(ISBLANK('DEVIS AURI'!A48),"",'DEVIS AURI'!A48)</f>
        <v/>
      </c>
      <c r="B49" s="191" t="str">
        <f>IF(ISBLANK('DEVIS AURI'!B48),"",'DEVIS AURI'!B48)</f>
        <v/>
      </c>
      <c r="C49" s="195" t="str">
        <f>IF(ISBLANK('DEVIS AURI'!C48),"",'DEVIS AURI'!C48)</f>
        <v/>
      </c>
      <c r="D49" s="191" t="str">
        <f>IF(ISBLANK('DEVIS AURI'!D48),"",'DEVIS AURI'!D48)</f>
        <v/>
      </c>
      <c r="E49" s="191" t="str">
        <f>IF(ISBLANK('DEVIS AURI'!E48),"",'DEVIS AURI'!E48)</f>
        <v/>
      </c>
      <c r="F49" s="195" t="str">
        <f>IF(ISBLANK('DEVIS AURI'!F48),"",'DEVIS AURI'!F48)</f>
        <v/>
      </c>
      <c r="G49" s="195" t="str">
        <f>IF(ISBLANK('DEVIS AURI'!G48),"",'DEVIS AURI'!G48)</f>
        <v/>
      </c>
    </row>
    <row r="50" spans="1:7" s="32" customFormat="1" ht="32.1" customHeight="1">
      <c r="A50" s="191" t="str">
        <f>IF(ISBLANK('DEVIS AURI'!A49),"",'DEVIS AURI'!A49)</f>
        <v/>
      </c>
      <c r="B50" s="191" t="str">
        <f>IF(ISBLANK('DEVIS AURI'!B49),"",'DEVIS AURI'!B49)</f>
        <v/>
      </c>
      <c r="C50" s="195" t="str">
        <f>IF(ISBLANK('DEVIS AURI'!C49),"",'DEVIS AURI'!C49)</f>
        <v/>
      </c>
      <c r="D50" s="191" t="str">
        <f>IF(ISBLANK('DEVIS AURI'!D49),"",'DEVIS AURI'!D49)</f>
        <v/>
      </c>
      <c r="E50" s="191" t="str">
        <f>IF(ISBLANK('DEVIS AURI'!E49),"",'DEVIS AURI'!E49)</f>
        <v/>
      </c>
      <c r="F50" s="195" t="str">
        <f>IF(ISBLANK('DEVIS AURI'!F49),"",'DEVIS AURI'!F49)</f>
        <v/>
      </c>
      <c r="G50" s="195" t="str">
        <f>IF(ISBLANK('DEVIS AURI'!G49),"",'DEVIS AURI'!G49)</f>
        <v/>
      </c>
    </row>
    <row r="51" spans="1:7" s="32" customFormat="1" ht="32.1" customHeight="1">
      <c r="A51" s="191" t="str">
        <f>IF(ISBLANK('DEVIS AURI'!A50),"",'DEVIS AURI'!A50)</f>
        <v/>
      </c>
      <c r="B51" s="191" t="str">
        <f>IF(ISBLANK('DEVIS AURI'!B50),"",'DEVIS AURI'!B50)</f>
        <v/>
      </c>
      <c r="C51" s="195" t="str">
        <f>IF(ISBLANK('DEVIS AURI'!C50),"",'DEVIS AURI'!C50)</f>
        <v/>
      </c>
      <c r="D51" s="191" t="str">
        <f>IF(ISBLANK('DEVIS AURI'!D50),"",'DEVIS AURI'!D50)</f>
        <v/>
      </c>
      <c r="E51" s="191" t="str">
        <f>IF(ISBLANK('DEVIS AURI'!E50),"",'DEVIS AURI'!E50)</f>
        <v/>
      </c>
      <c r="F51" s="195" t="str">
        <f>IF(ISBLANK('DEVIS AURI'!F50),"",'DEVIS AURI'!F50)</f>
        <v/>
      </c>
      <c r="G51" s="195" t="str">
        <f>IF(ISBLANK('DEVIS AURI'!G50),"",'DEVIS AURI'!G50)</f>
        <v/>
      </c>
    </row>
    <row r="52" spans="1:7" s="32" customFormat="1" ht="32.1" customHeight="1">
      <c r="A52" s="191" t="str">
        <f>IF(ISBLANK('DEVIS AURI'!A51),"",'DEVIS AURI'!A51)</f>
        <v/>
      </c>
      <c r="B52" s="191" t="str">
        <f>IF(ISBLANK('DEVIS AURI'!B51),"",'DEVIS AURI'!B51)</f>
        <v/>
      </c>
      <c r="C52" s="195" t="str">
        <f>IF(ISBLANK('DEVIS AURI'!C51),"",'DEVIS AURI'!C51)</f>
        <v/>
      </c>
      <c r="D52" s="191" t="str">
        <f>IF(ISBLANK('DEVIS AURI'!D51),"",'DEVIS AURI'!D51)</f>
        <v/>
      </c>
      <c r="E52" s="191" t="str">
        <f>IF(ISBLANK('DEVIS AURI'!E51),"",'DEVIS AURI'!E51)</f>
        <v/>
      </c>
      <c r="F52" s="195" t="str">
        <f>IF(ISBLANK('DEVIS AURI'!F51),"",'DEVIS AURI'!F51)</f>
        <v/>
      </c>
      <c r="G52" s="195" t="str">
        <f>IF(ISBLANK('DEVIS AURI'!G51),"",'DEVIS AURI'!G51)</f>
        <v/>
      </c>
    </row>
    <row r="53" spans="1:7" s="32" customFormat="1" ht="32.1" customHeight="1">
      <c r="A53" s="191" t="str">
        <f>IF(ISBLANK('DEVIS AURI'!A52),"",'DEVIS AURI'!A52)</f>
        <v/>
      </c>
      <c r="B53" s="191" t="str">
        <f>IF(ISBLANK('DEVIS AURI'!B52),"",'DEVIS AURI'!B52)</f>
        <v/>
      </c>
      <c r="C53" s="195" t="str">
        <f>IF(ISBLANK('DEVIS AURI'!C52),"",'DEVIS AURI'!C52)</f>
        <v/>
      </c>
      <c r="D53" s="191" t="str">
        <f>IF(ISBLANK('DEVIS AURI'!D52),"",'DEVIS AURI'!D52)</f>
        <v/>
      </c>
      <c r="E53" s="191" t="str">
        <f>IF(ISBLANK('DEVIS AURI'!E52),"",'DEVIS AURI'!E52)</f>
        <v/>
      </c>
      <c r="F53" s="195" t="str">
        <f>IF(ISBLANK('DEVIS AURI'!F52),"",'DEVIS AURI'!F52)</f>
        <v/>
      </c>
      <c r="G53" s="195" t="str">
        <f>IF(ISBLANK('DEVIS AURI'!G52),"",'DEVIS AURI'!G52)</f>
        <v/>
      </c>
    </row>
    <row r="54" spans="1:7" s="32" customFormat="1" ht="32.1" customHeight="1">
      <c r="A54" s="191" t="str">
        <f>IF(ISBLANK('DEVIS AURI'!A53),"",'DEVIS AURI'!A53)</f>
        <v/>
      </c>
      <c r="B54" s="191" t="str">
        <f>IF(ISBLANK('DEVIS AURI'!B53),"",'DEVIS AURI'!B53)</f>
        <v/>
      </c>
      <c r="C54" s="195" t="str">
        <f>IF(ISBLANK('DEVIS AURI'!C53),"",'DEVIS AURI'!C53)</f>
        <v/>
      </c>
      <c r="D54" s="191" t="str">
        <f>IF(ISBLANK('DEVIS AURI'!D53),"",'DEVIS AURI'!D53)</f>
        <v/>
      </c>
      <c r="E54" s="191" t="str">
        <f>IF(ISBLANK('DEVIS AURI'!E53),"",'DEVIS AURI'!E53)</f>
        <v/>
      </c>
      <c r="F54" s="195" t="str">
        <f>IF(ISBLANK('DEVIS AURI'!F53),"",'DEVIS AURI'!F53)</f>
        <v/>
      </c>
      <c r="G54" s="195" t="str">
        <f>IF(ISBLANK('DEVIS AURI'!G53),"",'DEVIS AURI'!G53)</f>
        <v/>
      </c>
    </row>
    <row r="55" spans="1:7" s="32" customFormat="1" ht="32.1" customHeight="1">
      <c r="A55" s="191" t="str">
        <f>IF(ISBLANK('DEVIS AURI'!A54),"",'DEVIS AURI'!A54)</f>
        <v/>
      </c>
      <c r="B55" s="191" t="str">
        <f>IF(ISBLANK('DEVIS AURI'!B54),"",'DEVIS AURI'!B54)</f>
        <v/>
      </c>
      <c r="C55" s="195" t="str">
        <f>IF(ISBLANK('DEVIS AURI'!C54),"",'DEVIS AURI'!C54)</f>
        <v/>
      </c>
      <c r="D55" s="191" t="str">
        <f>IF(ISBLANK('DEVIS AURI'!D54),"",'DEVIS AURI'!D54)</f>
        <v/>
      </c>
      <c r="E55" s="191" t="str">
        <f>IF(ISBLANK('DEVIS AURI'!E54),"",'DEVIS AURI'!E54)</f>
        <v/>
      </c>
      <c r="F55" s="195" t="str">
        <f>IF(ISBLANK('DEVIS AURI'!F54),"",'DEVIS AURI'!F54)</f>
        <v/>
      </c>
      <c r="G55" s="195" t="str">
        <f>IF(ISBLANK('DEVIS AURI'!G54),"",'DEVIS AURI'!G54)</f>
        <v/>
      </c>
    </row>
    <row r="56" spans="1:7" s="32" customFormat="1" ht="32.1" customHeight="1">
      <c r="A56" s="191" t="str">
        <f>IF(ISBLANK('DEVIS AURI'!A55),"",'DEVIS AURI'!A55)</f>
        <v/>
      </c>
      <c r="B56" s="191" t="str">
        <f>IF(ISBLANK('DEVIS AURI'!B55),"",'DEVIS AURI'!B55)</f>
        <v/>
      </c>
      <c r="C56" s="195" t="str">
        <f>IF(ISBLANK('DEVIS AURI'!C55),"",'DEVIS AURI'!C55)</f>
        <v/>
      </c>
      <c r="D56" s="191" t="str">
        <f>IF(ISBLANK('DEVIS AURI'!D55),"",'DEVIS AURI'!D55)</f>
        <v/>
      </c>
      <c r="E56" s="191" t="str">
        <f>IF(ISBLANK('DEVIS AURI'!E55),"",'DEVIS AURI'!E55)</f>
        <v/>
      </c>
      <c r="F56" s="195" t="str">
        <f>IF(ISBLANK('DEVIS AURI'!F55),"",'DEVIS AURI'!F55)</f>
        <v/>
      </c>
      <c r="G56" s="195" t="str">
        <f>IF(ISBLANK('DEVIS AURI'!G55),"",'DEVIS AURI'!G55)</f>
        <v/>
      </c>
    </row>
    <row r="57" spans="1:7" s="32" customFormat="1" ht="32.1" customHeight="1">
      <c r="A57" s="191" t="str">
        <f>IF(ISBLANK('DEVIS AURI'!A56),"",'DEVIS AURI'!A56)</f>
        <v/>
      </c>
      <c r="B57" s="191" t="str">
        <f>IF(ISBLANK('DEVIS AURI'!B56),"",'DEVIS AURI'!B56)</f>
        <v/>
      </c>
      <c r="C57" s="195" t="str">
        <f>IF(ISBLANK('DEVIS AURI'!C56),"",'DEVIS AURI'!C56)</f>
        <v/>
      </c>
      <c r="D57" s="191" t="str">
        <f>IF(ISBLANK('DEVIS AURI'!D56),"",'DEVIS AURI'!D56)</f>
        <v/>
      </c>
      <c r="E57" s="191" t="str">
        <f>IF(ISBLANK('DEVIS AURI'!E56),"",'DEVIS AURI'!E56)</f>
        <v/>
      </c>
      <c r="F57" s="195" t="str">
        <f>IF(ISBLANK('DEVIS AURI'!F56),"",'DEVIS AURI'!F56)</f>
        <v/>
      </c>
      <c r="G57" s="195" t="str">
        <f>IF(ISBLANK('DEVIS AURI'!G56),"",'DEVIS AURI'!G56)</f>
        <v/>
      </c>
    </row>
    <row r="58" spans="1:7" s="32" customFormat="1" ht="32.1" customHeight="1">
      <c r="A58" s="191" t="str">
        <f>IF(ISBLANK('DEVIS AURI'!A57),"",'DEVIS AURI'!A57)</f>
        <v/>
      </c>
      <c r="B58" s="191" t="str">
        <f>IF(ISBLANK('DEVIS AURI'!B57),"",'DEVIS AURI'!B57)</f>
        <v/>
      </c>
      <c r="C58" s="195" t="str">
        <f>IF(ISBLANK('DEVIS AURI'!C57),"",'DEVIS AURI'!C57)</f>
        <v/>
      </c>
      <c r="D58" s="191" t="str">
        <f>IF(ISBLANK('DEVIS AURI'!D57),"",'DEVIS AURI'!D57)</f>
        <v/>
      </c>
      <c r="E58" s="191" t="str">
        <f>IF(ISBLANK('DEVIS AURI'!E57),"",'DEVIS AURI'!E57)</f>
        <v/>
      </c>
      <c r="F58" s="195" t="str">
        <f>IF(ISBLANK('DEVIS AURI'!F57),"",'DEVIS AURI'!F57)</f>
        <v/>
      </c>
      <c r="G58" s="195" t="str">
        <f>IF(ISBLANK('DEVIS AURI'!G57),"",'DEVIS AURI'!G57)</f>
        <v/>
      </c>
    </row>
    <row r="59" spans="1:7" s="32" customFormat="1" ht="32.1" customHeight="1">
      <c r="A59" s="191" t="str">
        <f>IF(ISBLANK('DEVIS AURI'!A58),"",'DEVIS AURI'!A58)</f>
        <v/>
      </c>
      <c r="B59" s="191" t="str">
        <f>IF(ISBLANK('DEVIS AURI'!B58),"",'DEVIS AURI'!B58)</f>
        <v/>
      </c>
      <c r="C59" s="195" t="str">
        <f>IF(ISBLANK('DEVIS AURI'!C58),"",'DEVIS AURI'!C58)</f>
        <v/>
      </c>
      <c r="D59" s="191" t="str">
        <f>IF(ISBLANK('DEVIS AURI'!D58),"",'DEVIS AURI'!D58)</f>
        <v/>
      </c>
      <c r="E59" s="191" t="str">
        <f>IF(ISBLANK('DEVIS AURI'!E58),"",'DEVIS AURI'!E58)</f>
        <v/>
      </c>
      <c r="F59" s="195" t="str">
        <f>IF(ISBLANK('DEVIS AURI'!F58),"",'DEVIS AURI'!F58)</f>
        <v/>
      </c>
      <c r="G59" s="195" t="str">
        <f>IF(ISBLANK('DEVIS AURI'!G58),"",'DEVIS AURI'!G58)</f>
        <v/>
      </c>
    </row>
    <row r="60" spans="1:7" s="32" customFormat="1" ht="32.1" customHeight="1" thickBot="1">
      <c r="A60" s="191" t="str">
        <f>IF(ISBLANK('DEVIS AURI'!A59),"",'DEVIS AURI'!A59)</f>
        <v/>
      </c>
      <c r="B60" s="191" t="str">
        <f>IF(ISBLANK('DEVIS AURI'!B59),"",'DEVIS AURI'!B59)</f>
        <v/>
      </c>
      <c r="C60" s="207" t="str">
        <f>IF(ISBLANK('DEVIS AURI'!C59),"",'DEVIS AURI'!C59)</f>
        <v/>
      </c>
      <c r="D60" s="208" t="str">
        <f>IF(ISBLANK('DEVIS AURI'!D59),"",'DEVIS AURI'!D59)</f>
        <v/>
      </c>
      <c r="E60" s="208" t="str">
        <f>IF(ISBLANK('DEVIS AURI'!E59),"",'DEVIS AURI'!E59)</f>
        <v/>
      </c>
      <c r="F60" s="207" t="str">
        <f>IF(ISBLANK('DEVIS AURI'!F59),"",'DEVIS AURI'!F59)</f>
        <v/>
      </c>
      <c r="G60" s="207" t="str">
        <f>IF(ISBLANK('DEVIS AURI'!G59),"",'DEVIS AURI'!G59)</f>
        <v/>
      </c>
    </row>
    <row r="61" spans="1:7" s="194" customFormat="1" ht="32.1" customHeight="1" thickTop="1" thickBot="1">
      <c r="A61" s="192" t="s">
        <v>88</v>
      </c>
      <c r="B61" s="193" t="s">
        <v>176</v>
      </c>
      <c r="C61" s="193" t="s">
        <v>175</v>
      </c>
      <c r="D61" s="258" t="s">
        <v>189</v>
      </c>
      <c r="E61" s="259"/>
      <c r="F61" s="258" t="s">
        <v>190</v>
      </c>
      <c r="G61" s="259"/>
    </row>
    <row r="62" spans="1:7" ht="32.1" customHeight="1" thickTop="1" thickBot="1">
      <c r="A62" s="160" t="s">
        <v>89</v>
      </c>
      <c r="B62" s="162">
        <f>SUMIF(D43:D60,1,F43:F60)</f>
        <v>0</v>
      </c>
      <c r="C62" s="163">
        <f>+B62*0.1</f>
        <v>0</v>
      </c>
      <c r="D62" s="260">
        <f>C62+B62</f>
        <v>0</v>
      </c>
      <c r="E62" s="261"/>
      <c r="F62" s="262">
        <f>D62+D63</f>
        <v>0</v>
      </c>
      <c r="G62" s="263"/>
    </row>
    <row r="63" spans="1:7" ht="32.1" customHeight="1" thickTop="1" thickBot="1">
      <c r="A63" s="165" t="s">
        <v>90</v>
      </c>
      <c r="B63" s="161">
        <f>SUMIF(D43:D60,2,F43:F60)</f>
        <v>0</v>
      </c>
      <c r="C63" s="164">
        <f>+B63*0.2</f>
        <v>0</v>
      </c>
      <c r="D63" s="260">
        <f>C63+B63</f>
        <v>0</v>
      </c>
      <c r="E63" s="261"/>
      <c r="F63" s="264"/>
      <c r="G63" s="265"/>
    </row>
    <row r="64" spans="1:7" ht="13.5" thickTop="1"/>
    <row r="65" spans="1:7" s="11" customFormat="1" ht="20.25" customHeight="1">
      <c r="A65" s="110"/>
      <c r="B65" s="110"/>
      <c r="C65" s="110"/>
      <c r="D65" s="110"/>
      <c r="E65" s="110"/>
      <c r="F65" s="110"/>
      <c r="G65" s="110"/>
    </row>
    <row r="66" spans="1:7" s="11" customFormat="1" ht="39.75" customHeight="1">
      <c r="A66" s="110"/>
      <c r="B66" s="110"/>
      <c r="C66" s="110"/>
      <c r="D66" s="110"/>
      <c r="E66" s="110"/>
      <c r="F66" s="110"/>
      <c r="G66" s="110"/>
    </row>
    <row r="67" spans="1:7" s="11" customFormat="1" ht="39.75" customHeight="1">
      <c r="A67" s="131"/>
      <c r="B67" s="110"/>
      <c r="C67" s="110"/>
      <c r="D67" s="110"/>
      <c r="E67" s="110"/>
      <c r="F67" s="110"/>
      <c r="G67" s="110"/>
    </row>
    <row r="68" spans="1:7" s="11" customFormat="1" ht="24" customHeight="1">
      <c r="A68" s="110"/>
      <c r="B68" s="110"/>
      <c r="C68" s="110"/>
      <c r="D68" s="110"/>
      <c r="E68" s="110"/>
      <c r="F68" s="110"/>
      <c r="G68" s="110"/>
    </row>
    <row r="69" spans="1:7" s="11" customFormat="1" ht="18.75" customHeight="1">
      <c r="A69" s="110"/>
      <c r="B69" s="110"/>
      <c r="C69" s="110"/>
      <c r="D69" s="110"/>
      <c r="E69" s="110"/>
      <c r="F69" s="110"/>
      <c r="G69" s="110"/>
    </row>
    <row r="70" spans="1:7" s="11" customFormat="1" ht="12.75" customHeight="1">
      <c r="A70" s="110"/>
      <c r="B70" s="110"/>
      <c r="C70" s="110"/>
      <c r="D70" s="110"/>
      <c r="E70" s="110"/>
      <c r="F70" s="110"/>
      <c r="G70" s="110"/>
    </row>
    <row r="71" spans="1:7" s="11" customFormat="1" ht="12.75" customHeight="1">
      <c r="A71" s="110"/>
      <c r="B71" s="110"/>
      <c r="C71" s="110"/>
      <c r="D71" s="110"/>
      <c r="E71" s="110"/>
      <c r="F71" s="110"/>
      <c r="G71" s="110"/>
    </row>
    <row r="72" spans="1:7" s="11" customFormat="1" ht="12.75" customHeight="1">
      <c r="A72" s="110"/>
      <c r="B72" s="110"/>
      <c r="C72" s="110"/>
      <c r="D72" s="110"/>
      <c r="E72" s="110"/>
      <c r="F72" s="110"/>
      <c r="G72" s="110"/>
    </row>
    <row r="73" spans="1:7" s="11" customFormat="1" ht="12.75" customHeight="1">
      <c r="A73" s="110"/>
      <c r="B73" s="110"/>
      <c r="C73" s="110"/>
      <c r="D73" s="110"/>
      <c r="E73" s="110"/>
      <c r="F73" s="110"/>
      <c r="G73" s="110"/>
    </row>
    <row r="74" spans="1:7" s="11" customFormat="1">
      <c r="A74" s="110"/>
      <c r="B74" s="110"/>
      <c r="C74" s="110"/>
      <c r="D74" s="110"/>
      <c r="E74" s="110"/>
      <c r="F74" s="110"/>
      <c r="G74" s="110"/>
    </row>
    <row r="75" spans="1:7" s="11" customFormat="1" ht="12.75" customHeight="1">
      <c r="A75" s="110"/>
      <c r="B75" s="110"/>
      <c r="C75" s="110"/>
      <c r="D75" s="110"/>
      <c r="E75" s="110"/>
      <c r="F75" s="110"/>
      <c r="G75" s="110"/>
    </row>
    <row r="76" spans="1:7" s="11" customFormat="1" ht="18.75">
      <c r="A76" s="136"/>
      <c r="B76" s="129"/>
      <c r="C76" s="110"/>
      <c r="D76" s="110"/>
      <c r="E76" s="110"/>
      <c r="F76" s="110"/>
      <c r="G76" s="110"/>
    </row>
    <row r="77" spans="1:7" s="11" customFormat="1">
      <c r="A77" s="110"/>
      <c r="B77" s="110"/>
      <c r="C77" s="110"/>
      <c r="D77" s="110"/>
      <c r="E77" s="110"/>
      <c r="F77" s="110"/>
      <c r="G77" s="110"/>
    </row>
    <row r="78" spans="1:7" s="11" customFormat="1">
      <c r="A78" s="110"/>
      <c r="B78" s="110"/>
      <c r="C78" s="110"/>
      <c r="D78" s="110"/>
      <c r="E78" s="110"/>
      <c r="F78" s="110"/>
      <c r="G78" s="110"/>
    </row>
    <row r="79" spans="1:7" s="11" customFormat="1">
      <c r="A79" s="110"/>
      <c r="B79" s="110"/>
      <c r="C79" s="110"/>
      <c r="D79" s="110"/>
      <c r="E79" s="110"/>
      <c r="F79" s="110"/>
      <c r="G79" s="110"/>
    </row>
    <row r="80" spans="1:7" s="11" customFormat="1">
      <c r="A80" s="110"/>
      <c r="B80" s="110"/>
      <c r="C80" s="110"/>
      <c r="D80" s="110"/>
      <c r="E80" s="110"/>
      <c r="F80" s="110"/>
      <c r="G80" s="110"/>
    </row>
    <row r="81" spans="1:7" s="11" customFormat="1">
      <c r="A81" s="110"/>
      <c r="B81" s="110"/>
      <c r="C81" s="110"/>
      <c r="D81" s="110"/>
      <c r="E81" s="110"/>
      <c r="F81" s="110"/>
      <c r="G81" s="110"/>
    </row>
    <row r="82" spans="1:7" s="11" customFormat="1">
      <c r="A82" s="110"/>
      <c r="B82" s="110"/>
      <c r="C82" s="110"/>
      <c r="D82" s="110"/>
      <c r="E82" s="110"/>
      <c r="F82" s="110"/>
      <c r="G82" s="110"/>
    </row>
    <row r="83" spans="1:7" s="11" customFormat="1">
      <c r="A83" s="110"/>
      <c r="B83" s="110"/>
      <c r="C83" s="110"/>
      <c r="D83" s="110"/>
      <c r="E83" s="110"/>
      <c r="F83" s="110"/>
      <c r="G83" s="110"/>
    </row>
    <row r="84" spans="1:7" s="11" customFormat="1">
      <c r="A84" s="110"/>
      <c r="B84" s="110"/>
      <c r="C84" s="110"/>
      <c r="D84" s="110"/>
      <c r="E84" s="110"/>
      <c r="F84" s="110"/>
      <c r="G84" s="110"/>
    </row>
    <row r="85" spans="1:7" s="11" customFormat="1">
      <c r="A85" s="110"/>
      <c r="B85" s="110"/>
      <c r="C85" s="110"/>
      <c r="D85" s="110"/>
      <c r="E85" s="110"/>
      <c r="F85" s="110"/>
      <c r="G85" s="110"/>
    </row>
    <row r="86" spans="1:7" s="11" customFormat="1">
      <c r="A86" s="110"/>
      <c r="B86" s="110"/>
      <c r="C86" s="110"/>
      <c r="D86" s="110"/>
      <c r="E86" s="110"/>
      <c r="F86" s="110"/>
      <c r="G86" s="110"/>
    </row>
    <row r="87" spans="1:7" s="11" customFormat="1">
      <c r="A87" s="110"/>
      <c r="B87" s="110"/>
      <c r="C87" s="110"/>
      <c r="D87" s="110"/>
      <c r="E87" s="110"/>
      <c r="F87" s="110"/>
      <c r="G87" s="110"/>
    </row>
    <row r="88" spans="1:7" s="11" customFormat="1">
      <c r="A88" s="110"/>
      <c r="B88" s="110"/>
      <c r="C88" s="110"/>
      <c r="D88" s="110"/>
      <c r="E88" s="110"/>
      <c r="F88" s="110"/>
      <c r="G88" s="110"/>
    </row>
    <row r="89" spans="1:7" s="11" customFormat="1">
      <c r="A89" s="110"/>
      <c r="B89" s="110"/>
      <c r="C89" s="110"/>
      <c r="D89" s="110"/>
      <c r="E89" s="110"/>
      <c r="F89" s="110"/>
      <c r="G89" s="110"/>
    </row>
    <row r="90" spans="1:7" s="11" customFormat="1">
      <c r="A90" s="110"/>
      <c r="B90" s="110"/>
      <c r="C90" s="110"/>
      <c r="D90" s="110"/>
      <c r="E90" s="110"/>
      <c r="F90" s="110"/>
      <c r="G90" s="110"/>
    </row>
    <row r="91" spans="1:7" s="11" customFormat="1">
      <c r="A91" s="110"/>
      <c r="B91" s="110"/>
      <c r="C91" s="110"/>
      <c r="D91" s="110"/>
      <c r="E91" s="110"/>
      <c r="F91" s="110"/>
      <c r="G91" s="110"/>
    </row>
    <row r="92" spans="1:7" s="11" customFormat="1">
      <c r="A92" s="110"/>
      <c r="B92" s="110"/>
      <c r="C92" s="110"/>
      <c r="D92" s="110"/>
      <c r="E92" s="110"/>
      <c r="F92" s="110"/>
      <c r="G92" s="110"/>
    </row>
    <row r="93" spans="1:7" s="11" customFormat="1">
      <c r="A93" s="110"/>
      <c r="B93" s="110"/>
      <c r="C93" s="110"/>
      <c r="D93" s="110"/>
      <c r="E93" s="110"/>
      <c r="F93" s="110"/>
      <c r="G93" s="110"/>
    </row>
    <row r="94" spans="1:7" s="11" customFormat="1">
      <c r="A94" s="110"/>
      <c r="B94" s="110"/>
      <c r="C94" s="110"/>
      <c r="D94" s="110"/>
      <c r="E94" s="110"/>
      <c r="F94" s="110"/>
      <c r="G94" s="110"/>
    </row>
    <row r="95" spans="1:7" s="11" customFormat="1">
      <c r="A95" s="110"/>
      <c r="B95" s="110"/>
      <c r="C95" s="110"/>
      <c r="D95" s="110"/>
      <c r="E95" s="110"/>
      <c r="F95" s="110"/>
      <c r="G95" s="110"/>
    </row>
    <row r="96" spans="1:7" s="11" customFormat="1">
      <c r="A96" s="110"/>
      <c r="B96" s="110"/>
      <c r="C96" s="110"/>
      <c r="D96" s="110"/>
      <c r="E96" s="110"/>
      <c r="F96" s="110"/>
      <c r="G96" s="110"/>
    </row>
    <row r="97" spans="1:7" s="11" customFormat="1">
      <c r="A97" s="110"/>
      <c r="B97" s="110"/>
      <c r="C97" s="110"/>
      <c r="D97" s="110"/>
      <c r="E97" s="110"/>
      <c r="F97" s="110"/>
      <c r="G97" s="110"/>
    </row>
    <row r="98" spans="1:7" s="11" customFormat="1">
      <c r="A98" s="110"/>
      <c r="B98" s="110"/>
      <c r="C98" s="110"/>
      <c r="D98" s="110"/>
      <c r="E98" s="110"/>
      <c r="F98" s="110"/>
      <c r="G98" s="110"/>
    </row>
    <row r="99" spans="1:7" s="11" customFormat="1">
      <c r="A99" s="110"/>
      <c r="B99" s="110"/>
      <c r="C99" s="110"/>
      <c r="D99" s="110"/>
      <c r="E99" s="110"/>
      <c r="F99" s="110"/>
      <c r="G99" s="110"/>
    </row>
    <row r="100" spans="1:7" s="11" customFormat="1">
      <c r="A100" s="110"/>
      <c r="B100" s="110"/>
      <c r="C100" s="110"/>
      <c r="D100" s="110"/>
      <c r="E100" s="110"/>
      <c r="F100" s="110"/>
      <c r="G100" s="110"/>
    </row>
    <row r="101" spans="1:7" s="11" customFormat="1">
      <c r="A101" s="110"/>
      <c r="B101" s="110"/>
      <c r="C101" s="110"/>
      <c r="D101" s="110"/>
      <c r="E101" s="110"/>
      <c r="F101" s="110"/>
      <c r="G101" s="110"/>
    </row>
    <row r="102" spans="1:7" s="11" customFormat="1">
      <c r="A102" s="110"/>
      <c r="B102" s="110"/>
      <c r="C102" s="110"/>
      <c r="D102" s="110"/>
      <c r="E102" s="110"/>
      <c r="F102" s="110"/>
      <c r="G102" s="110"/>
    </row>
    <row r="103" spans="1:7" s="11" customFormat="1">
      <c r="A103" s="110"/>
      <c r="B103" s="110"/>
      <c r="C103" s="110"/>
      <c r="D103" s="110"/>
      <c r="E103" s="110"/>
      <c r="F103" s="110"/>
      <c r="G103" s="110"/>
    </row>
    <row r="104" spans="1:7" s="11" customFormat="1">
      <c r="A104" s="110"/>
      <c r="B104" s="110"/>
      <c r="C104" s="110"/>
      <c r="D104" s="110"/>
      <c r="E104" s="110"/>
      <c r="F104" s="110"/>
      <c r="G104" s="110"/>
    </row>
    <row r="105" spans="1:7" s="11" customFormat="1">
      <c r="A105" s="110"/>
      <c r="B105" s="110"/>
      <c r="C105" s="110"/>
      <c r="D105" s="110"/>
      <c r="E105" s="110"/>
      <c r="F105" s="110"/>
      <c r="G105" s="110"/>
    </row>
    <row r="106" spans="1:7" s="11" customFormat="1">
      <c r="A106" s="110"/>
      <c r="B106" s="110"/>
      <c r="C106" s="110"/>
      <c r="D106" s="110"/>
      <c r="E106" s="110"/>
      <c r="F106" s="110"/>
      <c r="G106" s="110"/>
    </row>
    <row r="107" spans="1:7" s="11" customFormat="1">
      <c r="A107" s="110"/>
      <c r="B107" s="110"/>
      <c r="C107" s="110"/>
      <c r="D107" s="110"/>
      <c r="E107" s="110"/>
      <c r="F107" s="110"/>
      <c r="G107" s="110"/>
    </row>
    <row r="108" spans="1:7" s="11" customFormat="1">
      <c r="A108" s="110"/>
      <c r="B108" s="110"/>
      <c r="C108" s="110"/>
      <c r="D108" s="110"/>
      <c r="E108" s="110"/>
      <c r="F108" s="110"/>
      <c r="G108" s="110"/>
    </row>
    <row r="109" spans="1:7" s="11" customFormat="1">
      <c r="A109" s="110"/>
      <c r="B109" s="110"/>
      <c r="C109" s="110"/>
      <c r="D109" s="110"/>
      <c r="E109" s="110"/>
      <c r="F109" s="110"/>
      <c r="G109" s="110"/>
    </row>
    <row r="110" spans="1:7" s="11" customFormat="1">
      <c r="A110" s="110"/>
      <c r="B110" s="110"/>
      <c r="C110" s="110"/>
      <c r="D110" s="110"/>
      <c r="E110" s="110"/>
      <c r="F110" s="110"/>
      <c r="G110" s="110"/>
    </row>
    <row r="111" spans="1:7" s="11" customFormat="1">
      <c r="A111" s="110"/>
      <c r="B111" s="110"/>
      <c r="C111" s="110"/>
      <c r="D111" s="110"/>
      <c r="E111" s="110"/>
      <c r="F111" s="110"/>
      <c r="G111" s="110"/>
    </row>
    <row r="112" spans="1:7" s="11" customFormat="1">
      <c r="A112" s="110"/>
      <c r="B112" s="110"/>
      <c r="C112" s="110"/>
      <c r="D112" s="110"/>
      <c r="E112" s="110"/>
      <c r="F112" s="110"/>
      <c r="G112" s="110"/>
    </row>
    <row r="113" spans="1:7" s="11" customFormat="1">
      <c r="A113" s="110"/>
      <c r="B113" s="110"/>
      <c r="C113" s="110"/>
      <c r="D113" s="110"/>
      <c r="E113" s="110"/>
      <c r="F113" s="110"/>
      <c r="G113" s="110"/>
    </row>
    <row r="114" spans="1:7" s="11" customFormat="1">
      <c r="A114" s="110"/>
      <c r="B114" s="110"/>
      <c r="C114" s="110"/>
      <c r="D114" s="110"/>
      <c r="E114" s="110"/>
      <c r="F114" s="110"/>
      <c r="G114" s="110"/>
    </row>
    <row r="115" spans="1:7" s="11" customFormat="1">
      <c r="A115" s="110"/>
      <c r="B115" s="110"/>
      <c r="C115" s="110"/>
      <c r="D115" s="110"/>
      <c r="E115" s="110"/>
      <c r="F115" s="110"/>
      <c r="G115" s="110"/>
    </row>
    <row r="116" spans="1:7" s="11" customFormat="1">
      <c r="A116" s="110"/>
      <c r="B116" s="110"/>
      <c r="C116" s="110"/>
      <c r="D116" s="110"/>
      <c r="E116" s="110"/>
      <c r="F116" s="110"/>
      <c r="G116" s="110"/>
    </row>
    <row r="117" spans="1:7" s="11" customFormat="1">
      <c r="A117" s="110"/>
      <c r="B117" s="110"/>
      <c r="C117" s="110"/>
      <c r="D117" s="110"/>
      <c r="E117" s="110"/>
      <c r="F117" s="110"/>
      <c r="G117" s="110"/>
    </row>
    <row r="118" spans="1:7" s="11" customFormat="1">
      <c r="A118" s="110"/>
      <c r="B118" s="110"/>
      <c r="C118" s="110"/>
      <c r="D118" s="110"/>
      <c r="E118" s="110"/>
      <c r="F118" s="110"/>
      <c r="G118" s="110"/>
    </row>
    <row r="119" spans="1:7" s="11" customFormat="1">
      <c r="A119" s="110"/>
      <c r="B119" s="110"/>
      <c r="C119" s="110"/>
      <c r="D119" s="110"/>
      <c r="E119" s="110"/>
      <c r="F119" s="110"/>
      <c r="G119" s="110"/>
    </row>
  </sheetData>
  <protectedRanges>
    <protectedRange sqref="D68 F42:G42 E67 D65:E66 D38:E41 G65:G66 C42:D42 G38:G39 G41" name="Plage1_11"/>
  </protectedRanges>
  <customSheetViews>
    <customSheetView guid="{242414E6-120C-46C4-A8A3-88F120C813D3}" scale="55" showPageBreaks="1" printArea="1">
      <selection activeCell="D1" sqref="D1"/>
      <pageMargins left="0.39370078740157483" right="0" top="0.39370078740157483" bottom="0" header="0.31496062992125984" footer="0.31496062992125984"/>
      <pageSetup paperSize="9" scale="45" fitToWidth="0" fitToHeight="0" orientation="portrait" r:id="rId1"/>
      <headerFooter>
        <oddHeader>&amp;L&amp;G&amp;R&amp;G</oddHeader>
      </headerFooter>
    </customSheetView>
  </customSheetViews>
  <mergeCells count="18">
    <mergeCell ref="B1:B2"/>
    <mergeCell ref="B3:B4"/>
    <mergeCell ref="B5:B6"/>
    <mergeCell ref="A37:G37"/>
    <mergeCell ref="A28:G28"/>
    <mergeCell ref="B34:G34"/>
    <mergeCell ref="D23:E23"/>
    <mergeCell ref="D10:G10"/>
    <mergeCell ref="D61:E61"/>
    <mergeCell ref="F61:G61"/>
    <mergeCell ref="D62:E62"/>
    <mergeCell ref="F62:G63"/>
    <mergeCell ref="D63:E63"/>
    <mergeCell ref="A10:B10"/>
    <mergeCell ref="D11:G11"/>
    <mergeCell ref="D13:E13"/>
    <mergeCell ref="F13:G13"/>
    <mergeCell ref="A20:B20"/>
  </mergeCells>
  <dataValidations count="1">
    <dataValidation type="list" allowBlank="1" showInputMessage="1" showErrorMessage="1" sqref="M28">
      <formula1>Règlement</formula1>
    </dataValidation>
  </dataValidations>
  <printOptions horizontalCentered="1" verticalCentered="1"/>
  <pageMargins left="0.39370078740157483" right="0" top="0.39370078740157483" bottom="0" header="0.31496062992125984" footer="0.31496062992125984"/>
  <pageSetup paperSize="9" scale="38" orientation="portrait" r:id="rId2"/>
  <headerFooter>
    <oddHeader>&amp;L&amp;G&amp;R&amp;G</oddHeader>
  </headerFooter>
  <ignoredErrors>
    <ignoredError sqref="A43:G60 B19 B12:B18 D13:G13 B30:G34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I33" sqref="I33"/>
    </sheetView>
  </sheetViews>
  <sheetFormatPr baseColWidth="10" defaultRowHeight="12.75"/>
  <cols>
    <col min="1" max="1" width="51.140625" bestFit="1" customWidth="1"/>
    <col min="8" max="8" width="53.28515625" bestFit="1" customWidth="1"/>
    <col min="14" max="14" width="53.28515625" bestFit="1" customWidth="1"/>
  </cols>
  <sheetData>
    <row r="1" spans="1:18">
      <c r="A1" s="22"/>
    </row>
    <row r="3" spans="1:18">
      <c r="N3" s="3" t="s">
        <v>43</v>
      </c>
      <c r="O3" s="29">
        <v>1.6</v>
      </c>
      <c r="P3" s="34">
        <v>1</v>
      </c>
      <c r="Q3" s="28">
        <v>0.1</v>
      </c>
      <c r="R3" s="30">
        <f t="shared" ref="R3:R64" si="0">+O3*(1+Q3)</f>
        <v>1.7600000000000002</v>
      </c>
    </row>
    <row r="4" spans="1:18">
      <c r="N4" s="3" t="s">
        <v>42</v>
      </c>
      <c r="O4" s="29">
        <v>4.2</v>
      </c>
      <c r="P4" s="34">
        <v>1</v>
      </c>
      <c r="Q4" s="28">
        <v>0.1</v>
      </c>
      <c r="R4" s="30">
        <f t="shared" si="0"/>
        <v>4.620000000000001</v>
      </c>
    </row>
    <row r="5" spans="1:18">
      <c r="N5" s="3" t="s">
        <v>45</v>
      </c>
      <c r="O5" s="29">
        <f>48*0.99</f>
        <v>47.519999999999996</v>
      </c>
      <c r="P5" s="34">
        <v>1</v>
      </c>
      <c r="Q5" s="28">
        <v>0.1</v>
      </c>
      <c r="R5" s="30">
        <f t="shared" si="0"/>
        <v>52.271999999999998</v>
      </c>
    </row>
    <row r="6" spans="1:18">
      <c r="N6" s="3" t="s">
        <v>46</v>
      </c>
      <c r="O6" s="29">
        <f>56*0.99</f>
        <v>55.44</v>
      </c>
      <c r="P6" s="34">
        <v>1</v>
      </c>
      <c r="Q6" s="28">
        <v>0.1</v>
      </c>
      <c r="R6" s="30">
        <f t="shared" si="0"/>
        <v>60.984000000000002</v>
      </c>
    </row>
    <row r="7" spans="1:18">
      <c r="A7" s="22" t="s">
        <v>160</v>
      </c>
      <c r="B7" s="22" t="s">
        <v>165</v>
      </c>
      <c r="C7" s="22" t="s">
        <v>166</v>
      </c>
      <c r="H7" s="22" t="s">
        <v>161</v>
      </c>
      <c r="I7" s="22" t="s">
        <v>165</v>
      </c>
      <c r="J7" s="22" t="s">
        <v>166</v>
      </c>
      <c r="N7" s="3" t="s">
        <v>111</v>
      </c>
      <c r="O7" s="29">
        <v>1.1000000000000001</v>
      </c>
      <c r="P7" s="34">
        <v>1</v>
      </c>
      <c r="Q7" s="28">
        <v>0.1</v>
      </c>
      <c r="R7" s="30">
        <f t="shared" si="0"/>
        <v>1.2100000000000002</v>
      </c>
    </row>
    <row r="8" spans="1:18">
      <c r="B8" s="94" t="e">
        <f>+dateprestation</f>
        <v>#NAME?</v>
      </c>
      <c r="C8" s="95" t="e">
        <f>heureprepa</f>
        <v>#NAME?</v>
      </c>
      <c r="I8" s="94" t="e">
        <f>+dateprestation</f>
        <v>#NAME?</v>
      </c>
      <c r="J8" s="95" t="e">
        <f>heureprepa</f>
        <v>#NAME?</v>
      </c>
      <c r="N8" s="3" t="s">
        <v>112</v>
      </c>
      <c r="O8" s="29"/>
      <c r="P8" s="34">
        <v>1</v>
      </c>
      <c r="Q8" s="28">
        <v>0.1</v>
      </c>
      <c r="R8" s="30">
        <f t="shared" si="0"/>
        <v>0</v>
      </c>
    </row>
    <row r="9" spans="1:18">
      <c r="N9" s="10" t="s">
        <v>114</v>
      </c>
      <c r="O9" s="29"/>
      <c r="P9" s="34">
        <v>1</v>
      </c>
      <c r="Q9" s="28">
        <v>0.1</v>
      </c>
      <c r="R9" s="30">
        <f t="shared" si="0"/>
        <v>0</v>
      </c>
    </row>
    <row r="10" spans="1:18">
      <c r="A10" s="74" t="s">
        <v>42</v>
      </c>
      <c r="B10" s="73">
        <f>SUMIF('DEVIS AURI'!$B$42:$B$59,PREPARATION!A10,'DEVIS AURI'!$E$42:$E$59)</f>
        <v>0</v>
      </c>
      <c r="H10" s="3" t="s">
        <v>45</v>
      </c>
      <c r="I10" s="73">
        <f>SUMIF('DEVIS AURI'!$B$42:$B$59,PREPARATION!H10,'DEVIS AURI'!$E$42:$E$59)</f>
        <v>0</v>
      </c>
      <c r="N10" s="10" t="s">
        <v>113</v>
      </c>
      <c r="O10" s="29"/>
      <c r="P10" s="34">
        <v>1</v>
      </c>
      <c r="Q10" s="28">
        <v>0.1</v>
      </c>
      <c r="R10" s="30">
        <f t="shared" si="0"/>
        <v>0</v>
      </c>
    </row>
    <row r="11" spans="1:18">
      <c r="A11" s="3" t="s">
        <v>46</v>
      </c>
      <c r="B11" s="73">
        <f>SUMIF('DEVIS AURI'!$B$42:$B$59,PREPARATION!A11,'DEVIS AURI'!$E$42:$E$59)</f>
        <v>0</v>
      </c>
      <c r="H11" s="10" t="s">
        <v>53</v>
      </c>
      <c r="I11" s="73">
        <f>SUMIF('DEVIS AURI'!$B$42:$B$59,PREPARATION!H11,'DEVIS AURI'!$E$42:$E$59)</f>
        <v>0</v>
      </c>
      <c r="N11" s="10" t="s">
        <v>115</v>
      </c>
      <c r="O11" s="29"/>
      <c r="P11" s="34">
        <v>1</v>
      </c>
      <c r="Q11" s="28">
        <v>0.1</v>
      </c>
      <c r="R11" s="30">
        <f t="shared" si="0"/>
        <v>0</v>
      </c>
    </row>
    <row r="12" spans="1:18">
      <c r="A12" s="3" t="s">
        <v>111</v>
      </c>
      <c r="B12" s="73">
        <f>SUMIF('DEVIS AURI'!$B$42:$B$59,PREPARATION!A12,'DEVIS AURI'!$E$42:$E$59)</f>
        <v>0</v>
      </c>
      <c r="H12" s="3" t="s">
        <v>68</v>
      </c>
      <c r="I12" s="73">
        <f>SUMIF('DEVIS AURI'!$B$42:$B$59,PREPARATION!H12,'DEVIS AURI'!$E$42:$E$59)</f>
        <v>0</v>
      </c>
      <c r="N12" s="10" t="s">
        <v>116</v>
      </c>
      <c r="O12" s="29">
        <v>0.7</v>
      </c>
      <c r="P12" s="34">
        <v>1</v>
      </c>
      <c r="Q12" s="28">
        <v>0.1</v>
      </c>
      <c r="R12" s="30">
        <f t="shared" si="0"/>
        <v>0.77</v>
      </c>
    </row>
    <row r="13" spans="1:18">
      <c r="A13" s="10" t="s">
        <v>114</v>
      </c>
      <c r="B13" s="73">
        <f>SUMIF('DEVIS AURI'!$B$42:$B$59,PREPARATION!A13,'DEVIS AURI'!$E$42:$E$59)</f>
        <v>0</v>
      </c>
      <c r="H13" s="3" t="s">
        <v>69</v>
      </c>
      <c r="I13" s="73">
        <f>SUMIF('DEVIS AURI'!$B$42:$B$59,PREPARATION!H13,'DEVIS AURI'!$E$42:$E$59)</f>
        <v>0</v>
      </c>
      <c r="N13" s="10" t="s">
        <v>117</v>
      </c>
      <c r="O13" s="29">
        <v>0.7</v>
      </c>
      <c r="P13" s="34">
        <v>1</v>
      </c>
      <c r="Q13" s="28">
        <v>0.1</v>
      </c>
      <c r="R13" s="30">
        <f t="shared" si="0"/>
        <v>0.77</v>
      </c>
    </row>
    <row r="14" spans="1:18">
      <c r="A14" s="10" t="s">
        <v>113</v>
      </c>
      <c r="B14" s="73">
        <f>SUMIF('DEVIS AURI'!$B$42:$B$59,PREPARATION!A14,'DEVIS AURI'!$E$42:$E$59)</f>
        <v>0</v>
      </c>
      <c r="H14" s="3" t="s">
        <v>70</v>
      </c>
      <c r="I14" s="73">
        <f>SUMIF('DEVIS AURI'!$B$42:$B$59,PREPARATION!H14,'DEVIS AURI'!$E$42:$E$59)</f>
        <v>0</v>
      </c>
      <c r="N14" s="10" t="s">
        <v>118</v>
      </c>
      <c r="O14" s="29">
        <v>0.7</v>
      </c>
      <c r="P14" s="34">
        <v>1</v>
      </c>
      <c r="Q14" s="28">
        <v>0.1</v>
      </c>
      <c r="R14" s="30">
        <f t="shared" si="0"/>
        <v>0.77</v>
      </c>
    </row>
    <row r="15" spans="1:18">
      <c r="A15" s="10" t="s">
        <v>115</v>
      </c>
      <c r="B15" s="73">
        <f>SUMIF('DEVIS AURI'!$B$42:$B$59,PREPARATION!A15,'DEVIS AURI'!$E$42:$E$59)</f>
        <v>0</v>
      </c>
      <c r="H15" s="3" t="s">
        <v>67</v>
      </c>
      <c r="I15" s="73">
        <f>SUMIF('DEVIS AURI'!$B$42:$B$59,PREPARATION!H15,'DEVIS AURI'!$E$42:$E$59)</f>
        <v>0</v>
      </c>
      <c r="N15" s="3" t="s">
        <v>47</v>
      </c>
      <c r="O15" s="29">
        <v>0.7</v>
      </c>
      <c r="P15" s="34">
        <v>1</v>
      </c>
      <c r="Q15" s="28">
        <v>0.1</v>
      </c>
      <c r="R15" s="30">
        <f t="shared" si="0"/>
        <v>0.77</v>
      </c>
    </row>
    <row r="16" spans="1:18">
      <c r="A16" s="10" t="s">
        <v>116</v>
      </c>
      <c r="B16" s="73">
        <f>SUMIF('DEVIS AURI'!$B$42:$B$59,PREPARATION!A16,'DEVIS AURI'!$E$42:$E$59)+$B$10</f>
        <v>0</v>
      </c>
      <c r="H16" s="3" t="s">
        <v>71</v>
      </c>
      <c r="I16" s="73">
        <f>SUMIF('DEVIS AURI'!$B$42:$B$59,PREPARATION!H16,'DEVIS AURI'!$E$42:$E$59)</f>
        <v>0</v>
      </c>
      <c r="N16" s="17" t="s">
        <v>48</v>
      </c>
      <c r="O16" s="29">
        <v>6</v>
      </c>
      <c r="P16" s="34">
        <v>1</v>
      </c>
      <c r="Q16" s="28">
        <v>0.1</v>
      </c>
      <c r="R16" s="30">
        <f t="shared" si="0"/>
        <v>6.6000000000000005</v>
      </c>
    </row>
    <row r="17" spans="1:18">
      <c r="A17" s="10" t="s">
        <v>117</v>
      </c>
      <c r="B17" s="73">
        <f>SUMIF('DEVIS AURI'!$B$42:$B$59,PREPARATION!A17,'DEVIS AURI'!$E$42:$E$59)+$B$10</f>
        <v>0</v>
      </c>
      <c r="H17" s="3" t="s">
        <v>72</v>
      </c>
      <c r="I17" s="73">
        <f>SUMIF('DEVIS AURI'!$B$42:$B$59,PREPARATION!H17,'DEVIS AURI'!$E$42:$E$59)</f>
        <v>0</v>
      </c>
      <c r="N17" s="10" t="s">
        <v>49</v>
      </c>
      <c r="O17" s="29">
        <v>26.4</v>
      </c>
      <c r="P17" s="34">
        <v>1</v>
      </c>
      <c r="Q17" s="28">
        <v>0.1</v>
      </c>
      <c r="R17" s="30">
        <f t="shared" si="0"/>
        <v>29.04</v>
      </c>
    </row>
    <row r="18" spans="1:18">
      <c r="A18" s="10" t="s">
        <v>118</v>
      </c>
      <c r="B18" s="73">
        <f>SUMIF('DEVIS AURI'!$B$42:$B$59,PREPARATION!A18,'DEVIS AURI'!$E$42:$E$59)+$B$10</f>
        <v>0</v>
      </c>
      <c r="I18" s="73"/>
      <c r="N18" s="5" t="s">
        <v>50</v>
      </c>
      <c r="O18" s="29">
        <v>17.55</v>
      </c>
      <c r="P18" s="34">
        <v>1</v>
      </c>
      <c r="Q18" s="28">
        <v>0.1</v>
      </c>
      <c r="R18" s="30">
        <f t="shared" si="0"/>
        <v>19.305000000000003</v>
      </c>
    </row>
    <row r="19" spans="1:18">
      <c r="A19" s="17" t="s">
        <v>48</v>
      </c>
      <c r="B19" s="73">
        <f>SUMIF('DEVIS AURI'!$B$42:$B$59,PREPARATION!A19,'DEVIS AURI'!$E$42:$E$59)</f>
        <v>0</v>
      </c>
      <c r="I19" s="73"/>
      <c r="N19" s="5" t="s">
        <v>51</v>
      </c>
      <c r="O19" s="29">
        <v>0.85</v>
      </c>
      <c r="P19" s="34">
        <v>1</v>
      </c>
      <c r="Q19" s="28">
        <v>0.1</v>
      </c>
      <c r="R19" s="30">
        <f t="shared" si="0"/>
        <v>0.93500000000000005</v>
      </c>
    </row>
    <row r="20" spans="1:18">
      <c r="A20" s="10" t="s">
        <v>49</v>
      </c>
      <c r="B20" s="73">
        <f>SUMIF('DEVIS AURI'!$B$42:$B$59,PREPARATION!A20,'DEVIS AURI'!$E$42:$E$59)</f>
        <v>0</v>
      </c>
      <c r="I20" s="73"/>
      <c r="N20" s="5" t="s">
        <v>83</v>
      </c>
      <c r="O20" s="29">
        <v>40</v>
      </c>
      <c r="P20" s="34">
        <v>1</v>
      </c>
      <c r="Q20" s="28">
        <v>0.1</v>
      </c>
      <c r="R20" s="30">
        <f t="shared" si="0"/>
        <v>44</v>
      </c>
    </row>
    <row r="21" spans="1:18">
      <c r="A21" s="5" t="s">
        <v>50</v>
      </c>
      <c r="B21" s="73">
        <f>SUMIF('DEVIS AURI'!$B$42:$B$59,PREPARATION!A21,'DEVIS AURI'!$E$42:$E$59)</f>
        <v>0</v>
      </c>
      <c r="I21" s="73"/>
      <c r="N21" s="10" t="s">
        <v>53</v>
      </c>
      <c r="O21" s="29">
        <v>36</v>
      </c>
      <c r="P21" s="34">
        <v>1</v>
      </c>
      <c r="Q21" s="28">
        <v>0.1</v>
      </c>
      <c r="R21" s="30">
        <f t="shared" si="0"/>
        <v>39.6</v>
      </c>
    </row>
    <row r="22" spans="1:18">
      <c r="A22" s="5" t="s">
        <v>51</v>
      </c>
      <c r="B22" s="73">
        <f>SUMIF('DEVIS AURI'!$B$42:$B$59,PREPARATION!A22,'DEVIS AURI'!$E$42:$E$59)</f>
        <v>0</v>
      </c>
      <c r="I22" s="73"/>
      <c r="N22" s="10" t="s">
        <v>54</v>
      </c>
      <c r="O22" s="29">
        <v>1.5</v>
      </c>
      <c r="P22" s="34">
        <v>1</v>
      </c>
      <c r="Q22" s="28">
        <v>0.1</v>
      </c>
      <c r="R22" s="30">
        <f t="shared" si="0"/>
        <v>1.6500000000000001</v>
      </c>
    </row>
    <row r="23" spans="1:18">
      <c r="A23" s="5" t="s">
        <v>83</v>
      </c>
      <c r="B23" s="73">
        <f>SUMIF('DEVIS AURI'!$B$42:$B$59,PREPARATION!A23,'DEVIS AURI'!$E$42:$E$59)</f>
        <v>0</v>
      </c>
      <c r="I23" s="73"/>
      <c r="N23" s="10" t="s">
        <v>55</v>
      </c>
      <c r="O23" s="29">
        <v>1.8</v>
      </c>
      <c r="P23" s="34">
        <v>1</v>
      </c>
      <c r="Q23" s="28">
        <v>0.1</v>
      </c>
      <c r="R23" s="30">
        <f t="shared" si="0"/>
        <v>1.9800000000000002</v>
      </c>
    </row>
    <row r="24" spans="1:18">
      <c r="A24" s="10" t="s">
        <v>55</v>
      </c>
      <c r="B24" s="73">
        <f>SUMIF('DEVIS AURI'!$B$42:$B$59,PREPARATION!A24,'DEVIS AURI'!$E$42:$E$59)</f>
        <v>0</v>
      </c>
      <c r="I24" s="73"/>
      <c r="N24" s="10" t="s">
        <v>56</v>
      </c>
      <c r="O24" s="29">
        <v>24.7</v>
      </c>
      <c r="P24" s="34">
        <v>1</v>
      </c>
      <c r="Q24" s="28">
        <v>0.1</v>
      </c>
      <c r="R24" s="30">
        <f t="shared" si="0"/>
        <v>27.17</v>
      </c>
    </row>
    <row r="25" spans="1:18">
      <c r="A25" s="10" t="s">
        <v>56</v>
      </c>
      <c r="B25" s="73">
        <f>SUMIF('DEVIS AURI'!$B$42:$B$59,PREPARATION!A25,'DEVIS AURI'!$E$42:$E$59)</f>
        <v>0</v>
      </c>
      <c r="I25" s="73"/>
      <c r="N25" s="10" t="s">
        <v>57</v>
      </c>
      <c r="O25" s="29">
        <v>17.489999999999998</v>
      </c>
      <c r="P25" s="34">
        <v>1</v>
      </c>
      <c r="Q25" s="28">
        <v>0.1</v>
      </c>
      <c r="R25" s="30">
        <f t="shared" si="0"/>
        <v>19.239000000000001</v>
      </c>
    </row>
    <row r="26" spans="1:18">
      <c r="A26" s="10" t="s">
        <v>57</v>
      </c>
      <c r="B26" s="73">
        <f>SUMIF('DEVIS AURI'!$B$42:$B$59,PREPARATION!A26,'DEVIS AURI'!$E$42:$E$59)</f>
        <v>0</v>
      </c>
      <c r="I26" s="73"/>
      <c r="N26" s="3" t="s">
        <v>68</v>
      </c>
      <c r="O26" s="29">
        <v>2.5499999999999998</v>
      </c>
      <c r="P26" s="34">
        <v>1</v>
      </c>
      <c r="Q26" s="28">
        <v>0.1</v>
      </c>
      <c r="R26" s="30">
        <f t="shared" si="0"/>
        <v>2.8050000000000002</v>
      </c>
    </row>
    <row r="27" spans="1:18">
      <c r="A27" s="10"/>
      <c r="B27" s="73"/>
      <c r="H27" s="22"/>
      <c r="I27" s="73"/>
      <c r="N27" s="3" t="s">
        <v>69</v>
      </c>
      <c r="O27" s="29">
        <v>3.5</v>
      </c>
      <c r="P27" s="34">
        <v>1</v>
      </c>
      <c r="Q27" s="28">
        <v>0.1</v>
      </c>
      <c r="R27" s="30">
        <f t="shared" si="0"/>
        <v>3.8500000000000005</v>
      </c>
    </row>
    <row r="28" spans="1:18">
      <c r="A28" s="22" t="s">
        <v>162</v>
      </c>
      <c r="B28" s="22" t="s">
        <v>165</v>
      </c>
      <c r="C28" s="22" t="s">
        <v>166</v>
      </c>
      <c r="H28" s="22" t="s">
        <v>163</v>
      </c>
      <c r="I28" s="22" t="s">
        <v>165</v>
      </c>
      <c r="J28" s="22" t="s">
        <v>166</v>
      </c>
      <c r="N28" s="3"/>
      <c r="O28" s="29"/>
      <c r="P28" s="34"/>
      <c r="Q28" s="28"/>
      <c r="R28" s="30"/>
    </row>
    <row r="29" spans="1:18">
      <c r="A29" s="10"/>
      <c r="B29" s="94" t="e">
        <f>+dateprestation</f>
        <v>#NAME?</v>
      </c>
      <c r="C29" s="95" t="e">
        <f>heureprepa</f>
        <v>#NAME?</v>
      </c>
      <c r="I29" s="94" t="e">
        <f>+dateprestation</f>
        <v>#NAME?</v>
      </c>
      <c r="J29" s="95" t="e">
        <f>heureprepa</f>
        <v>#NAME?</v>
      </c>
      <c r="N29" s="3" t="s">
        <v>70</v>
      </c>
      <c r="O29" s="29">
        <v>3.5</v>
      </c>
      <c r="P29" s="34">
        <v>1</v>
      </c>
      <c r="Q29" s="28">
        <v>0.1</v>
      </c>
      <c r="R29" s="30">
        <f t="shared" si="0"/>
        <v>3.8500000000000005</v>
      </c>
    </row>
    <row r="30" spans="1:18" ht="13.5" thickBot="1">
      <c r="B30" s="73">
        <f>SUMIF('DEVIS AURI'!$B$42:$B$59,PREPARATION!A28,'DEVIS AURI'!$E$42:$E$59)</f>
        <v>0</v>
      </c>
      <c r="H30" s="22"/>
      <c r="I30" s="73"/>
      <c r="N30" s="3" t="s">
        <v>67</v>
      </c>
      <c r="O30" s="29">
        <v>3.5</v>
      </c>
      <c r="P30" s="34">
        <v>1</v>
      </c>
      <c r="Q30" s="28">
        <v>0.1</v>
      </c>
      <c r="R30" s="30">
        <f t="shared" si="0"/>
        <v>3.8500000000000005</v>
      </c>
    </row>
    <row r="31" spans="1:18" ht="13.5" thickBot="1">
      <c r="A31" s="1" t="s">
        <v>95</v>
      </c>
      <c r="B31" s="73">
        <f>SUMIF('DEVIS AURI'!$B$42:$B$59,PREPARATION!A31,'DEVIS AURI'!$E$42:$E$59)</f>
        <v>0</v>
      </c>
      <c r="H31" s="22" t="s">
        <v>164</v>
      </c>
      <c r="I31" s="73">
        <f>SUMIF('DEVIS AURI'!$B$42:$B$59,PREPARATION!H31,'DEVIS AURI'!$E$42:$E$59)</f>
        <v>0</v>
      </c>
      <c r="N31" s="3" t="s">
        <v>71</v>
      </c>
      <c r="O31" s="29">
        <v>4</v>
      </c>
      <c r="P31" s="34">
        <v>1</v>
      </c>
      <c r="Q31" s="28">
        <v>0.1</v>
      </c>
      <c r="R31" s="30">
        <f t="shared" si="0"/>
        <v>4.4000000000000004</v>
      </c>
    </row>
    <row r="32" spans="1:18" ht="13.5" thickBot="1">
      <c r="A32" s="1" t="s">
        <v>96</v>
      </c>
      <c r="B32" s="73">
        <f>SUMIF('DEVIS AURI'!$B$42:$B$59,PREPARATION!A32,'DEVIS AURI'!$E$42:$E$59)</f>
        <v>0</v>
      </c>
      <c r="H32" s="3" t="s">
        <v>42</v>
      </c>
      <c r="I32" s="73">
        <f>SUMIF('DEVIS AURI'!$B$42:$B$59,PREPARATION!H32,'DEVIS AURI'!$E$42:$E$59)</f>
        <v>0</v>
      </c>
      <c r="N32" s="3" t="s">
        <v>72</v>
      </c>
      <c r="O32" s="29">
        <v>4</v>
      </c>
      <c r="P32" s="34">
        <v>1</v>
      </c>
      <c r="Q32" s="28">
        <v>0.1</v>
      </c>
      <c r="R32" s="30">
        <f t="shared" si="0"/>
        <v>4.4000000000000004</v>
      </c>
    </row>
    <row r="33" spans="1:18" ht="13.5" thickBot="1">
      <c r="A33" s="1" t="s">
        <v>97</v>
      </c>
      <c r="B33" s="73">
        <f>SUMIF('DEVIS AURI'!$B$42:$B$59,PREPARATION!A33,'DEVIS AURI'!$E$42:$E$59)</f>
        <v>0</v>
      </c>
      <c r="H33" s="1" t="s">
        <v>59</v>
      </c>
      <c r="I33" s="73">
        <f>SUMIF('DEVIS AURI'!$B$42:$B$59,PREPARATION!H33,'DEVIS AURI'!$E$42:$E$59)</f>
        <v>0</v>
      </c>
      <c r="N33" s="1" t="s">
        <v>95</v>
      </c>
      <c r="O33" s="1">
        <v>23.4</v>
      </c>
      <c r="P33" s="34">
        <v>1</v>
      </c>
      <c r="Q33" s="28">
        <v>0.1</v>
      </c>
      <c r="R33" s="30">
        <f t="shared" si="0"/>
        <v>25.740000000000002</v>
      </c>
    </row>
    <row r="34" spans="1:18" ht="13.5" thickBot="1">
      <c r="A34" s="1" t="s">
        <v>98</v>
      </c>
      <c r="B34" s="73">
        <f>SUMIF('DEVIS AURI'!$B$42:$B$59,PREPARATION!A34,'DEVIS AURI'!$E$42:$E$59)</f>
        <v>0</v>
      </c>
      <c r="H34" s="1" t="s">
        <v>60</v>
      </c>
      <c r="I34" s="73">
        <f>SUMIF('DEVIS AURI'!$B$42:$B$59,PREPARATION!H34,'DEVIS AURI'!$E$42:$E$59)</f>
        <v>0</v>
      </c>
      <c r="N34" s="1" t="s">
        <v>96</v>
      </c>
      <c r="O34" s="1">
        <v>23.4</v>
      </c>
      <c r="P34" s="34">
        <v>1</v>
      </c>
      <c r="Q34" s="28">
        <v>0.1</v>
      </c>
      <c r="R34" s="30">
        <f t="shared" si="0"/>
        <v>25.740000000000002</v>
      </c>
    </row>
    <row r="35" spans="1:18" ht="13.5" thickBot="1">
      <c r="A35" s="1" t="s">
        <v>99</v>
      </c>
      <c r="B35" s="73">
        <f>SUMIF('DEVIS AURI'!$B$42:$B$59,PREPARATION!A35,'DEVIS AURI'!$E$42:$E$59)</f>
        <v>0</v>
      </c>
      <c r="H35" s="1" t="s">
        <v>92</v>
      </c>
      <c r="I35" s="73">
        <f>SUMIF('DEVIS AURI'!$B$42:$B$59,PREPARATION!H35,'DEVIS AURI'!$E$42:$E$59)</f>
        <v>0</v>
      </c>
      <c r="N35" s="1" t="s">
        <v>97</v>
      </c>
      <c r="O35" s="1">
        <v>23.4</v>
      </c>
      <c r="P35" s="34">
        <v>1</v>
      </c>
      <c r="Q35" s="28">
        <v>0.1</v>
      </c>
      <c r="R35" s="30">
        <f t="shared" si="0"/>
        <v>25.740000000000002</v>
      </c>
    </row>
    <row r="36" spans="1:18" ht="13.5" thickBot="1">
      <c r="A36" s="1" t="s">
        <v>100</v>
      </c>
      <c r="B36" s="73">
        <f>SUMIF('DEVIS AURI'!$B$42:$B$59,PREPARATION!A36,'DEVIS AURI'!$E$42:$E$59)</f>
        <v>0</v>
      </c>
      <c r="H36" s="35" t="s">
        <v>93</v>
      </c>
      <c r="I36" s="73">
        <f>SUMIF('DEVIS AURI'!$B$42:$B$59,PREPARATION!H36,'DEVIS AURI'!$E$42:$E$59)</f>
        <v>0</v>
      </c>
      <c r="N36" s="1" t="s">
        <v>98</v>
      </c>
      <c r="O36" s="1">
        <v>4.0999999999999996</v>
      </c>
      <c r="P36" s="34">
        <v>1</v>
      </c>
      <c r="Q36" s="28">
        <v>0.1</v>
      </c>
      <c r="R36" s="30">
        <f t="shared" si="0"/>
        <v>4.51</v>
      </c>
    </row>
    <row r="37" spans="1:18" ht="13.5" thickBot="1">
      <c r="A37" s="3" t="s">
        <v>101</v>
      </c>
      <c r="B37" s="73">
        <f>SUMIF('DEVIS AURI'!$B$42:$B$59,PREPARATION!A37,'DEVIS AURI'!$E$42:$E$59)</f>
        <v>0</v>
      </c>
      <c r="H37" s="3" t="s">
        <v>94</v>
      </c>
      <c r="I37" s="73">
        <f>SUMIF('DEVIS AURI'!$B$42:$B$59,PREPARATION!H37,'DEVIS AURI'!$E$42:$E$59)</f>
        <v>0</v>
      </c>
      <c r="N37" s="1" t="s">
        <v>99</v>
      </c>
      <c r="O37" s="1">
        <v>4.0999999999999996</v>
      </c>
      <c r="P37" s="34">
        <v>1</v>
      </c>
      <c r="Q37" s="28">
        <v>0.1</v>
      </c>
      <c r="R37" s="30">
        <f t="shared" si="0"/>
        <v>4.51</v>
      </c>
    </row>
    <row r="38" spans="1:18">
      <c r="A38" s="3" t="s">
        <v>119</v>
      </c>
      <c r="B38" s="73">
        <f>SUMIF('DEVIS AURI'!$B$42:$B$59,PREPARATION!A38,'DEVIS AURI'!$E$42:$E$59)</f>
        <v>0</v>
      </c>
      <c r="H38" s="3" t="s">
        <v>62</v>
      </c>
      <c r="I38" s="73">
        <f>SUMIF('DEVIS AURI'!$B$42:$B$59,PREPARATION!H38,'DEVIS AURI'!$E$42:$E$59)</f>
        <v>0</v>
      </c>
      <c r="N38" s="1" t="s">
        <v>100</v>
      </c>
      <c r="O38" s="1">
        <v>4.0999999999999996</v>
      </c>
      <c r="P38" s="34">
        <v>1</v>
      </c>
      <c r="Q38" s="28">
        <v>0.1</v>
      </c>
      <c r="R38" s="30">
        <f t="shared" si="0"/>
        <v>4.51</v>
      </c>
    </row>
    <row r="39" spans="1:18">
      <c r="A39" s="3" t="s">
        <v>121</v>
      </c>
      <c r="B39" s="73">
        <f>SUMIF('DEVIS AURI'!$B$42:$B$59,PREPARATION!A39,'DEVIS AURI'!$E$42:$E$59)</f>
        <v>0</v>
      </c>
      <c r="H39" s="26" t="s">
        <v>73</v>
      </c>
      <c r="I39" s="73">
        <f>SUMIF('DEVIS AURI'!$B$42:$B$59,PREPARATION!H39,'DEVIS AURI'!$E$42:$E$59)</f>
        <v>0</v>
      </c>
      <c r="N39" s="3" t="s">
        <v>101</v>
      </c>
      <c r="O39" s="3">
        <v>3.9</v>
      </c>
      <c r="P39" s="34">
        <v>1</v>
      </c>
      <c r="Q39" s="28">
        <v>0.1</v>
      </c>
      <c r="R39" s="30">
        <f t="shared" si="0"/>
        <v>4.29</v>
      </c>
    </row>
    <row r="40" spans="1:18">
      <c r="A40" s="3" t="s">
        <v>102</v>
      </c>
      <c r="B40" s="73">
        <f>SUMIF('DEVIS AURI'!$B$42:$B$59,PREPARATION!A40,'DEVIS AURI'!$E$42:$E$59)</f>
        <v>0</v>
      </c>
      <c r="H40" s="26" t="s">
        <v>84</v>
      </c>
      <c r="I40" s="73">
        <f>SUMIF('DEVIS AURI'!$B$42:$B$59,PREPARATION!H40,'DEVIS AURI'!$E$42:$E$59)</f>
        <v>0</v>
      </c>
      <c r="N40" s="3" t="s">
        <v>119</v>
      </c>
      <c r="O40" s="3">
        <v>3.9</v>
      </c>
      <c r="P40" s="34">
        <v>1</v>
      </c>
      <c r="Q40" s="28">
        <v>0.1</v>
      </c>
      <c r="R40" s="30">
        <f t="shared" si="0"/>
        <v>4.29</v>
      </c>
    </row>
    <row r="41" spans="1:18">
      <c r="A41" s="3" t="s">
        <v>103</v>
      </c>
      <c r="B41" s="73">
        <f>SUMIF('DEVIS AURI'!$B$42:$B$59,PREPARATION!A41,'DEVIS AURI'!$E$42:$E$59)</f>
        <v>0</v>
      </c>
      <c r="H41" s="3" t="s">
        <v>63</v>
      </c>
      <c r="I41" s="73">
        <f>SUMIF('DEVIS AURI'!$B$42:$B$59,PREPARATION!H41,'DEVIS AURI'!$E$42:$E$59)</f>
        <v>0</v>
      </c>
      <c r="N41" s="3" t="s">
        <v>121</v>
      </c>
      <c r="O41" s="3">
        <v>3.9</v>
      </c>
      <c r="P41" s="34">
        <v>1</v>
      </c>
      <c r="Q41" s="28">
        <v>0.1</v>
      </c>
      <c r="R41" s="30">
        <f t="shared" si="0"/>
        <v>4.29</v>
      </c>
    </row>
    <row r="42" spans="1:18" ht="13.5" thickBot="1">
      <c r="A42" s="3" t="s">
        <v>104</v>
      </c>
      <c r="B42" s="73">
        <f>SUMIF('DEVIS AURI'!$B$42:$B$59,PREPARATION!A42,'DEVIS AURI'!$E$42:$E$59)</f>
        <v>0</v>
      </c>
      <c r="H42" s="20" t="s">
        <v>64</v>
      </c>
      <c r="I42" s="73">
        <f>SUMIF('DEVIS AURI'!$B$42:$B$59,PREPARATION!H42,'DEVIS AURI'!$E$42:$E$59)</f>
        <v>0</v>
      </c>
      <c r="N42" s="3" t="s">
        <v>102</v>
      </c>
      <c r="O42" s="3">
        <v>23.4</v>
      </c>
      <c r="P42" s="34">
        <v>1</v>
      </c>
      <c r="Q42" s="28">
        <v>0.1</v>
      </c>
      <c r="R42" s="30">
        <f t="shared" si="0"/>
        <v>25.740000000000002</v>
      </c>
    </row>
    <row r="43" spans="1:18">
      <c r="A43" s="1" t="s">
        <v>75</v>
      </c>
      <c r="B43" s="73">
        <f>SUMIF('DEVIS AURI'!$B$42:$B$59,PREPARATION!A43,'DEVIS AURI'!$E$42:$E$59)</f>
        <v>0</v>
      </c>
      <c r="H43" s="20" t="s">
        <v>65</v>
      </c>
      <c r="I43" s="73">
        <f>SUMIF('DEVIS AURI'!$B$42:$B$59,PREPARATION!H43,'DEVIS AURI'!$E$42:$E$59)</f>
        <v>0</v>
      </c>
      <c r="N43" s="3" t="s">
        <v>103</v>
      </c>
      <c r="O43" s="3">
        <v>23.4</v>
      </c>
      <c r="P43" s="34">
        <v>1</v>
      </c>
      <c r="Q43" s="28">
        <v>0.1</v>
      </c>
      <c r="R43" s="30">
        <f t="shared" si="0"/>
        <v>25.740000000000002</v>
      </c>
    </row>
    <row r="44" spans="1:18" ht="13.5" thickBot="1">
      <c r="A44" s="3" t="s">
        <v>76</v>
      </c>
      <c r="B44" s="73">
        <f>SUMIF('DEVIS AURI'!$B$42:$B$59,PREPARATION!A44,'DEVIS AURI'!$E$42:$E$59)</f>
        <v>0</v>
      </c>
      <c r="H44" s="10" t="s">
        <v>110</v>
      </c>
      <c r="I44" s="73">
        <f>SUMIF('DEVIS AURI'!$B$42:$B$59,PREPARATION!H44,'DEVIS AURI'!$E$42:$E$59)</f>
        <v>0</v>
      </c>
      <c r="N44" s="3" t="s">
        <v>104</v>
      </c>
      <c r="O44" s="3">
        <v>23.4</v>
      </c>
      <c r="P44" s="34">
        <v>1</v>
      </c>
      <c r="Q44" s="28">
        <v>0.1</v>
      </c>
      <c r="R44" s="30">
        <f t="shared" si="0"/>
        <v>25.740000000000002</v>
      </c>
    </row>
    <row r="45" spans="1:18">
      <c r="A45" s="3" t="s">
        <v>77</v>
      </c>
      <c r="B45" s="73">
        <f>SUMIF('DEVIS AURI'!$B$42:$B$59,PREPARATION!A45,'DEVIS AURI'!$E$42:$E$59)</f>
        <v>0</v>
      </c>
      <c r="H45" s="3" t="s">
        <v>109</v>
      </c>
      <c r="I45" s="73">
        <f>SUMIF('DEVIS AURI'!$B$42:$B$59,PREPARATION!H45,'DEVIS AURI'!$E$42:$E$59)</f>
        <v>0</v>
      </c>
      <c r="N45" s="1" t="s">
        <v>75</v>
      </c>
      <c r="O45" s="29">
        <v>4.0999999999999996</v>
      </c>
      <c r="P45" s="34">
        <v>1</v>
      </c>
      <c r="Q45" s="28">
        <v>0.1</v>
      </c>
      <c r="R45" s="30">
        <f t="shared" si="0"/>
        <v>4.51</v>
      </c>
    </row>
    <row r="46" spans="1:18">
      <c r="H46" s="3" t="s">
        <v>108</v>
      </c>
      <c r="I46" s="73">
        <f>SUMIF('DEVIS AURI'!$B$42:$B$59,PREPARATION!H46,'DEVIS AURI'!$E$42:$E$59)</f>
        <v>0</v>
      </c>
      <c r="N46" s="3" t="s">
        <v>76</v>
      </c>
      <c r="O46" s="29">
        <v>3.9</v>
      </c>
      <c r="P46" s="34">
        <v>1</v>
      </c>
      <c r="Q46" s="28">
        <v>0.1</v>
      </c>
      <c r="R46" s="30">
        <f t="shared" si="0"/>
        <v>4.29</v>
      </c>
    </row>
    <row r="47" spans="1:18" ht="13.5" thickBot="1">
      <c r="H47" s="3" t="s">
        <v>14</v>
      </c>
      <c r="I47" s="73">
        <f>SUMIF('DEVIS AURI'!$B$42:$B$59,PREPARATION!H47,'DEVIS AURI'!$E$42:$E$59)</f>
        <v>0</v>
      </c>
      <c r="N47" s="3" t="s">
        <v>77</v>
      </c>
      <c r="O47" s="29">
        <v>23.4</v>
      </c>
      <c r="P47" s="34">
        <v>1</v>
      </c>
      <c r="Q47" s="28">
        <v>0.1</v>
      </c>
      <c r="R47" s="30">
        <f t="shared" si="0"/>
        <v>25.740000000000002</v>
      </c>
    </row>
    <row r="48" spans="1:18" ht="13.5" thickBot="1">
      <c r="H48" s="1" t="s">
        <v>78</v>
      </c>
      <c r="I48" s="73">
        <f>SUMIF('DEVIS AURI'!$B$42:$B$59,PREPARATION!H48,'DEVIS AURI'!$E$42:$E$59)</f>
        <v>0</v>
      </c>
      <c r="N48" s="1" t="s">
        <v>59</v>
      </c>
      <c r="O48" s="29">
        <v>20</v>
      </c>
      <c r="P48" s="34">
        <v>1</v>
      </c>
      <c r="Q48" s="28">
        <v>0.1</v>
      </c>
      <c r="R48" s="30">
        <f t="shared" si="0"/>
        <v>22</v>
      </c>
    </row>
    <row r="49" spans="3:18" ht="13.5" thickBot="1">
      <c r="H49" s="3" t="s">
        <v>79</v>
      </c>
      <c r="I49" s="73">
        <f>SUMIF('DEVIS AURI'!$B$42:$B$59,PREPARATION!H49,'DEVIS AURI'!$E$42:$E$59)</f>
        <v>0</v>
      </c>
      <c r="N49" s="1" t="s">
        <v>60</v>
      </c>
      <c r="O49" s="29">
        <v>13</v>
      </c>
      <c r="P49" s="34">
        <v>1</v>
      </c>
      <c r="Q49" s="28">
        <v>0.1</v>
      </c>
      <c r="R49" s="30">
        <f t="shared" si="0"/>
        <v>14.3</v>
      </c>
    </row>
    <row r="50" spans="3:18">
      <c r="H50" s="3" t="s">
        <v>3</v>
      </c>
      <c r="I50" s="73">
        <f>SUMIF('DEVIS AURI'!$B$42:$B$59,PREPARATION!H50,'DEVIS AURI'!$E$42:$E$59)</f>
        <v>0</v>
      </c>
      <c r="N50" s="1" t="s">
        <v>92</v>
      </c>
      <c r="O50" s="29">
        <f>24*0.7</f>
        <v>16.799999999999997</v>
      </c>
      <c r="P50" s="34">
        <v>1</v>
      </c>
      <c r="Q50" s="28">
        <v>0.1</v>
      </c>
      <c r="R50" s="30">
        <f t="shared" si="0"/>
        <v>18.479999999999997</v>
      </c>
    </row>
    <row r="51" spans="3:18">
      <c r="N51" s="35" t="s">
        <v>93</v>
      </c>
      <c r="O51" s="29">
        <f>1.3*6</f>
        <v>7.8000000000000007</v>
      </c>
      <c r="P51" s="34">
        <v>1</v>
      </c>
      <c r="Q51" s="28">
        <v>0.1</v>
      </c>
      <c r="R51" s="30">
        <f t="shared" si="0"/>
        <v>8.5800000000000018</v>
      </c>
    </row>
    <row r="52" spans="3:18">
      <c r="N52" s="3" t="s">
        <v>94</v>
      </c>
      <c r="O52" s="29">
        <f>2.1*6</f>
        <v>12.600000000000001</v>
      </c>
      <c r="P52" s="34">
        <v>1</v>
      </c>
      <c r="Q52" s="28">
        <v>0.1</v>
      </c>
      <c r="R52" s="30">
        <f t="shared" si="0"/>
        <v>13.860000000000003</v>
      </c>
    </row>
    <row r="53" spans="3:18">
      <c r="N53" s="3" t="s">
        <v>62</v>
      </c>
      <c r="O53" s="29">
        <v>3.8</v>
      </c>
      <c r="P53" s="34">
        <v>1</v>
      </c>
      <c r="Q53" s="28">
        <v>0.1</v>
      </c>
      <c r="R53" s="30">
        <f t="shared" si="0"/>
        <v>4.18</v>
      </c>
    </row>
    <row r="54" spans="3:18">
      <c r="N54" s="26" t="s">
        <v>73</v>
      </c>
      <c r="O54" s="29">
        <v>3.8</v>
      </c>
      <c r="P54" s="34">
        <v>1</v>
      </c>
      <c r="Q54" s="28">
        <v>0.1</v>
      </c>
      <c r="R54" s="30">
        <f t="shared" si="0"/>
        <v>4.18</v>
      </c>
    </row>
    <row r="55" spans="3:18">
      <c r="C55" s="22" t="s">
        <v>167</v>
      </c>
      <c r="N55" s="26" t="s">
        <v>84</v>
      </c>
      <c r="O55" s="29">
        <v>1.8</v>
      </c>
      <c r="P55" s="34">
        <v>2</v>
      </c>
      <c r="Q55" s="28">
        <v>0.2</v>
      </c>
      <c r="R55" s="30">
        <f t="shared" si="0"/>
        <v>2.16</v>
      </c>
    </row>
    <row r="56" spans="3:18">
      <c r="N56" s="3" t="s">
        <v>63</v>
      </c>
      <c r="O56" s="29">
        <v>28.8</v>
      </c>
      <c r="P56" s="34">
        <v>2</v>
      </c>
      <c r="Q56" s="28">
        <v>0.2</v>
      </c>
      <c r="R56" s="30">
        <f t="shared" si="0"/>
        <v>34.56</v>
      </c>
    </row>
    <row r="57" spans="3:18">
      <c r="N57" s="20" t="s">
        <v>64</v>
      </c>
      <c r="O57" s="29">
        <v>6.6</v>
      </c>
      <c r="P57" s="34">
        <v>2</v>
      </c>
      <c r="Q57" s="28">
        <v>0.2</v>
      </c>
      <c r="R57" s="30">
        <f t="shared" si="0"/>
        <v>7.919999999999999</v>
      </c>
    </row>
    <row r="58" spans="3:18">
      <c r="N58" s="20" t="s">
        <v>65</v>
      </c>
      <c r="O58" s="29">
        <v>12</v>
      </c>
      <c r="P58" s="34">
        <v>2</v>
      </c>
      <c r="Q58" s="28">
        <v>0.2</v>
      </c>
      <c r="R58" s="30">
        <f t="shared" si="0"/>
        <v>14.399999999999999</v>
      </c>
    </row>
    <row r="59" spans="3:18">
      <c r="N59" s="10" t="s">
        <v>110</v>
      </c>
      <c r="O59" s="29">
        <v>15.1</v>
      </c>
      <c r="P59" s="34">
        <v>2</v>
      </c>
      <c r="Q59" s="28">
        <v>0.2</v>
      </c>
      <c r="R59" s="30">
        <f>+O59*(1+Q59)</f>
        <v>18.119999999999997</v>
      </c>
    </row>
    <row r="60" spans="3:18">
      <c r="N60" s="3" t="s">
        <v>109</v>
      </c>
      <c r="O60" s="29">
        <v>15.1</v>
      </c>
      <c r="P60" s="34">
        <v>2</v>
      </c>
      <c r="Q60" s="28">
        <v>0.2</v>
      </c>
      <c r="R60" s="30">
        <f>+O60*(1+Q60)</f>
        <v>18.119999999999997</v>
      </c>
    </row>
    <row r="61" spans="3:18">
      <c r="N61" s="3" t="s">
        <v>108</v>
      </c>
      <c r="O61" s="29">
        <v>15.1</v>
      </c>
      <c r="P61" s="34">
        <v>2</v>
      </c>
      <c r="Q61" s="28">
        <v>0.2</v>
      </c>
      <c r="R61" s="30">
        <f>+O61*(1+Q61)</f>
        <v>18.119999999999997</v>
      </c>
    </row>
    <row r="62" spans="3:18" ht="13.5" thickBot="1">
      <c r="N62" s="3" t="s">
        <v>14</v>
      </c>
      <c r="O62" s="29">
        <v>5.8</v>
      </c>
      <c r="P62" s="34">
        <v>2</v>
      </c>
      <c r="Q62" s="28">
        <v>0.2</v>
      </c>
      <c r="R62" s="30">
        <f t="shared" si="0"/>
        <v>6.96</v>
      </c>
    </row>
    <row r="63" spans="3:18">
      <c r="N63" s="1" t="s">
        <v>78</v>
      </c>
      <c r="O63" s="29">
        <v>1.5</v>
      </c>
      <c r="P63" s="34">
        <v>2</v>
      </c>
      <c r="Q63" s="28">
        <v>0.2</v>
      </c>
      <c r="R63" s="30">
        <f t="shared" si="0"/>
        <v>1.7999999999999998</v>
      </c>
    </row>
    <row r="64" spans="3:18">
      <c r="N64" s="3" t="s">
        <v>79</v>
      </c>
      <c r="O64" s="29">
        <v>18</v>
      </c>
      <c r="P64" s="34">
        <v>2</v>
      </c>
      <c r="Q64" s="28">
        <v>0.2</v>
      </c>
      <c r="R64" s="30">
        <f t="shared" si="0"/>
        <v>21.599999999999998</v>
      </c>
    </row>
    <row r="65" spans="14:18">
      <c r="N65" s="3" t="s">
        <v>3</v>
      </c>
      <c r="O65" s="29">
        <v>10</v>
      </c>
      <c r="P65" s="34">
        <v>2</v>
      </c>
      <c r="Q65" s="28">
        <v>0.2</v>
      </c>
      <c r="R65" s="30">
        <f>+O65*(1+Q65)</f>
        <v>12</v>
      </c>
    </row>
  </sheetData>
  <customSheetViews>
    <customSheetView guid="{242414E6-120C-46C4-A8A3-88F120C813D3}">
      <selection activeCell="C55" sqref="C55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6" workbookViewId="0">
      <selection sqref="A1:E38"/>
    </sheetView>
  </sheetViews>
  <sheetFormatPr baseColWidth="10" defaultRowHeight="12.75"/>
  <sheetData>
    <row r="1" spans="1:5">
      <c r="A1" s="311" t="s">
        <v>122</v>
      </c>
      <c r="B1" s="312"/>
      <c r="C1" s="312"/>
      <c r="D1" s="312"/>
      <c r="E1" s="312"/>
    </row>
    <row r="2" spans="1:5" ht="13.5" thickBot="1">
      <c r="A2" s="313"/>
      <c r="B2" s="314"/>
      <c r="C2" s="314"/>
      <c r="D2" s="314"/>
      <c r="E2" s="314"/>
    </row>
    <row r="3" spans="1:5" ht="18.75" thickBot="1">
      <c r="A3" s="36" t="s">
        <v>123</v>
      </c>
      <c r="B3" s="315"/>
      <c r="C3" s="315"/>
      <c r="D3" s="315"/>
      <c r="E3" s="315"/>
    </row>
    <row r="4" spans="1:5" ht="26.25">
      <c r="A4" s="316"/>
      <c r="B4" s="37" t="s">
        <v>124</v>
      </c>
      <c r="C4" s="319">
        <f>+[1]Devis!B18</f>
        <v>42944</v>
      </c>
      <c r="D4" s="319"/>
      <c r="E4" s="319"/>
    </row>
    <row r="5" spans="1:5" ht="25.5">
      <c r="A5" s="317"/>
      <c r="B5" s="38" t="s">
        <v>125</v>
      </c>
      <c r="C5" s="39"/>
      <c r="D5" s="40"/>
      <c r="E5" s="40"/>
    </row>
    <row r="6" spans="1:5" ht="15.75">
      <c r="A6" s="318"/>
      <c r="B6" s="41"/>
      <c r="C6" s="42"/>
      <c r="D6" s="42"/>
      <c r="E6" s="43"/>
    </row>
    <row r="7" spans="1:5" ht="20.25">
      <c r="A7" s="317"/>
      <c r="B7" s="37" t="s">
        <v>126</v>
      </c>
      <c r="C7" s="320"/>
      <c r="D7" s="320"/>
      <c r="E7" s="320"/>
    </row>
    <row r="8" spans="1:5" ht="20.25">
      <c r="A8" s="318"/>
      <c r="B8" s="44" t="s">
        <v>127</v>
      </c>
      <c r="C8" s="321"/>
      <c r="D8" s="322"/>
      <c r="E8" s="322"/>
    </row>
    <row r="9" spans="1:5" ht="15.75" thickBot="1">
      <c r="A9" s="45"/>
      <c r="B9" s="42"/>
      <c r="C9" s="42"/>
      <c r="D9" s="46"/>
      <c r="E9" s="47"/>
    </row>
    <row r="10" spans="1:5" ht="21" thickBot="1">
      <c r="A10" s="48" t="s">
        <v>128</v>
      </c>
      <c r="B10" s="49"/>
      <c r="C10" s="50"/>
      <c r="D10" s="50"/>
      <c r="E10" s="50"/>
    </row>
    <row r="11" spans="1:5" ht="15.75" thickBot="1">
      <c r="A11" s="298" t="s">
        <v>129</v>
      </c>
      <c r="B11" s="299"/>
      <c r="C11" s="300"/>
      <c r="D11" s="300"/>
      <c r="E11" s="300"/>
    </row>
    <row r="12" spans="1:5">
      <c r="A12" s="301"/>
      <c r="B12" s="302"/>
      <c r="C12" s="302"/>
      <c r="D12" s="302"/>
      <c r="E12" s="302"/>
    </row>
    <row r="13" spans="1:5">
      <c r="A13" s="303"/>
      <c r="B13" s="304"/>
      <c r="C13" s="304"/>
      <c r="D13" s="304"/>
      <c r="E13" s="304"/>
    </row>
    <row r="14" spans="1:5" ht="13.5" thickBot="1">
      <c r="A14" s="305"/>
      <c r="B14" s="306"/>
      <c r="C14" s="306"/>
      <c r="D14" s="306"/>
      <c r="E14" s="306"/>
    </row>
    <row r="15" spans="1:5" ht="15.75" thickBot="1">
      <c r="A15" s="298" t="s">
        <v>130</v>
      </c>
      <c r="B15" s="300"/>
      <c r="C15" s="300"/>
      <c r="D15" s="298" t="s">
        <v>131</v>
      </c>
      <c r="E15" s="300"/>
    </row>
    <row r="16" spans="1:5">
      <c r="A16" s="285"/>
      <c r="B16" s="286"/>
      <c r="C16" s="287"/>
      <c r="D16" s="310"/>
      <c r="E16" s="294"/>
    </row>
    <row r="17" spans="1:5" ht="20.25">
      <c r="A17" s="288"/>
      <c r="B17" s="289"/>
      <c r="C17" s="290"/>
      <c r="D17" s="51"/>
      <c r="E17" s="52" t="s">
        <v>132</v>
      </c>
    </row>
    <row r="18" spans="1:5" ht="20.25">
      <c r="A18" s="288"/>
      <c r="B18" s="289"/>
      <c r="C18" s="290"/>
      <c r="D18" s="51"/>
      <c r="E18" s="52" t="s">
        <v>133</v>
      </c>
    </row>
    <row r="19" spans="1:5" ht="20.25">
      <c r="A19" s="307"/>
      <c r="B19" s="308"/>
      <c r="C19" s="309"/>
      <c r="D19" s="51"/>
      <c r="E19" s="52" t="s">
        <v>134</v>
      </c>
    </row>
    <row r="20" spans="1:5" ht="23.25">
      <c r="A20" s="53"/>
      <c r="B20" s="54"/>
      <c r="C20" s="55"/>
      <c r="D20" s="51"/>
      <c r="E20" s="52" t="s">
        <v>135</v>
      </c>
    </row>
    <row r="21" spans="1:5" ht="20.25">
      <c r="A21" s="279"/>
      <c r="B21" s="280"/>
      <c r="C21" s="281"/>
      <c r="D21" s="51"/>
      <c r="E21" s="52" t="s">
        <v>136</v>
      </c>
    </row>
    <row r="22" spans="1:5" ht="21" thickBot="1">
      <c r="A22" s="282"/>
      <c r="B22" s="283"/>
      <c r="C22" s="284"/>
      <c r="D22" s="51"/>
      <c r="E22" s="52" t="s">
        <v>137</v>
      </c>
    </row>
    <row r="23" spans="1:5" ht="25.5">
      <c r="A23" s="56"/>
      <c r="B23" s="57" t="s">
        <v>138</v>
      </c>
      <c r="C23" s="58"/>
      <c r="D23" s="51"/>
      <c r="E23" s="52" t="s">
        <v>139</v>
      </c>
    </row>
    <row r="24" spans="1:5" ht="25.5">
      <c r="A24" s="59"/>
      <c r="B24" s="60" t="s">
        <v>140</v>
      </c>
      <c r="C24" s="55"/>
      <c r="D24" s="51"/>
      <c r="E24" s="52" t="s">
        <v>141</v>
      </c>
    </row>
    <row r="25" spans="1:5" ht="26.25" thickBot="1">
      <c r="A25" s="61"/>
      <c r="B25" s="62" t="s">
        <v>142</v>
      </c>
      <c r="C25" s="63"/>
      <c r="D25" s="51"/>
      <c r="E25" s="52" t="s">
        <v>143</v>
      </c>
    </row>
    <row r="26" spans="1:5" ht="26.25" thickBot="1">
      <c r="A26" s="64"/>
      <c r="B26" s="65"/>
      <c r="C26" s="66"/>
      <c r="D26" s="51"/>
      <c r="E26" s="52" t="s">
        <v>144</v>
      </c>
    </row>
    <row r="27" spans="1:5" ht="20.25">
      <c r="A27" s="285"/>
      <c r="B27" s="286"/>
      <c r="C27" s="287"/>
      <c r="D27" s="51"/>
      <c r="E27" s="52" t="s">
        <v>145</v>
      </c>
    </row>
    <row r="28" spans="1:5" ht="20.25">
      <c r="A28" s="288"/>
      <c r="B28" s="289"/>
      <c r="C28" s="290"/>
      <c r="D28" s="51"/>
      <c r="E28" s="67" t="s">
        <v>146</v>
      </c>
    </row>
    <row r="29" spans="1:5" ht="20.25">
      <c r="A29" s="288"/>
      <c r="B29" s="289"/>
      <c r="C29" s="290"/>
      <c r="D29" s="51"/>
      <c r="E29" s="52" t="s">
        <v>147</v>
      </c>
    </row>
    <row r="30" spans="1:5" ht="21" thickBot="1">
      <c r="A30" s="282"/>
      <c r="B30" s="283"/>
      <c r="C30" s="284"/>
      <c r="D30" s="68"/>
      <c r="E30" s="69" t="s">
        <v>148</v>
      </c>
    </row>
    <row r="31" spans="1:5" ht="15.75" thickBot="1">
      <c r="A31" s="291" t="s">
        <v>149</v>
      </c>
      <c r="B31" s="292"/>
      <c r="C31" s="293"/>
      <c r="D31" s="291" t="s">
        <v>150</v>
      </c>
      <c r="E31" s="292"/>
    </row>
    <row r="32" spans="1:5" ht="14.25">
      <c r="A32" s="70"/>
      <c r="B32" s="294"/>
      <c r="C32" s="295"/>
      <c r="D32" s="296"/>
      <c r="E32" s="297"/>
    </row>
    <row r="33" spans="1:5" ht="20.25">
      <c r="A33" s="51"/>
      <c r="B33" s="273" t="s">
        <v>151</v>
      </c>
      <c r="C33" s="274"/>
      <c r="D33" s="277"/>
      <c r="E33" s="278"/>
    </row>
    <row r="34" spans="1:5" ht="20.25">
      <c r="A34" s="51"/>
      <c r="B34" s="273" t="s">
        <v>152</v>
      </c>
      <c r="C34" s="274"/>
      <c r="D34" s="277"/>
      <c r="E34" s="278"/>
    </row>
    <row r="35" spans="1:5" ht="20.25">
      <c r="A35" s="51"/>
      <c r="B35" s="273" t="s">
        <v>153</v>
      </c>
      <c r="C35" s="274"/>
      <c r="D35" s="275"/>
      <c r="E35" s="276"/>
    </row>
    <row r="36" spans="1:5" ht="20.25">
      <c r="A36" s="51"/>
      <c r="B36" s="273" t="s">
        <v>154</v>
      </c>
      <c r="C36" s="274"/>
      <c r="D36" s="275"/>
      <c r="E36" s="276"/>
    </row>
    <row r="37" spans="1:5">
      <c r="A37" s="71"/>
      <c r="B37" s="71"/>
      <c r="C37" s="71"/>
      <c r="D37" s="71"/>
      <c r="E37" s="71"/>
    </row>
    <row r="38" spans="1:5">
      <c r="A38" s="71"/>
      <c r="B38" s="71"/>
      <c r="C38" s="71"/>
      <c r="D38" s="71"/>
      <c r="E38" s="71"/>
    </row>
  </sheetData>
  <customSheetViews>
    <customSheetView guid="{242414E6-120C-46C4-A8A3-88F120C813D3}" topLeftCell="A16">
      <selection sqref="A1:E38"/>
      <pageMargins left="0.7" right="0.7" top="0.75" bottom="0.75" header="0.3" footer="0.3"/>
    </customSheetView>
  </customSheetViews>
  <mergeCells count="27">
    <mergeCell ref="A1:E2"/>
    <mergeCell ref="B3:E3"/>
    <mergeCell ref="A4:A6"/>
    <mergeCell ref="C4:E4"/>
    <mergeCell ref="A7:A8"/>
    <mergeCell ref="C7:E7"/>
    <mergeCell ref="C8:E8"/>
    <mergeCell ref="A11:E11"/>
    <mergeCell ref="A12:E14"/>
    <mergeCell ref="A15:C15"/>
    <mergeCell ref="D15:E15"/>
    <mergeCell ref="A16:C19"/>
    <mergeCell ref="D16:E16"/>
    <mergeCell ref="A21:C22"/>
    <mergeCell ref="A27:C30"/>
    <mergeCell ref="A31:C31"/>
    <mergeCell ref="D31:E31"/>
    <mergeCell ref="B32:C32"/>
    <mergeCell ref="D32:E32"/>
    <mergeCell ref="B36:C36"/>
    <mergeCell ref="D36:E36"/>
    <mergeCell ref="B33:C33"/>
    <mergeCell ref="D33:E33"/>
    <mergeCell ref="B34:C34"/>
    <mergeCell ref="D34:E34"/>
    <mergeCell ref="B35:C35"/>
    <mergeCell ref="D35:E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16</vt:i4>
      </vt:variant>
    </vt:vector>
  </HeadingPairs>
  <TitlesOfParts>
    <vt:vector size="22" baseType="lpstr">
      <vt:lpstr>Calcul_A_emporter</vt:lpstr>
      <vt:lpstr>DEVIS AURI</vt:lpstr>
      <vt:lpstr>FACTURE AURI</vt:lpstr>
      <vt:lpstr>PREPARATION</vt:lpstr>
      <vt:lpstr>Feuil2</vt:lpstr>
      <vt:lpstr>Feuil1</vt:lpstr>
      <vt:lpstr>charge</vt:lpstr>
      <vt:lpstr>Cocktail_Petit_Déjeuner_au_détail</vt:lpstr>
      <vt:lpstr>lieux</vt:lpstr>
      <vt:lpstr>Livraison_et_Personnel_TVA_20</vt:lpstr>
      <vt:lpstr>livraisonPersonnel</vt:lpstr>
      <vt:lpstr>Location_de_salle_AURI_TVA_à_20</vt:lpstr>
      <vt:lpstr>Matériel_TVA_20</vt:lpstr>
      <vt:lpstr>options</vt:lpstr>
      <vt:lpstr>Pizzas_et_Quiches</vt:lpstr>
      <vt:lpstr>Règlement</vt:lpstr>
      <vt:lpstr>Repas_au_self</vt:lpstr>
      <vt:lpstr>Sandwich</vt:lpstr>
      <vt:lpstr>tarif</vt:lpstr>
      <vt:lpstr>Type_de_client</vt:lpstr>
      <vt:lpstr>'DEVIS AURI'!Zone_d_impression</vt:lpstr>
      <vt:lpstr>'FACTURE AURI'!Zone_d_impression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dominique.bumat</dc:creator>
  <cp:lastModifiedBy>Utilisateur Windows</cp:lastModifiedBy>
  <cp:lastPrinted>2017-08-16T09:40:23Z</cp:lastPrinted>
  <dcterms:created xsi:type="dcterms:W3CDTF">2009-05-14T12:05:37Z</dcterms:created>
  <dcterms:modified xsi:type="dcterms:W3CDTF">2017-08-16T09:40:27Z</dcterms:modified>
</cp:coreProperties>
</file>